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1049617134c\Documents\BACKUP 2\2023\INFORME DE GESTION\"/>
    </mc:Choice>
  </mc:AlternateContent>
  <xr:revisionPtr revIDLastSave="0" documentId="13_ncr:1_{EEE72153-B838-4896-8E85-8A9780316F02}" xr6:coauthVersionLast="47" xr6:coauthVersionMax="47" xr10:uidLastSave="{00000000-0000-0000-0000-000000000000}"/>
  <bookViews>
    <workbookView xWindow="1395" yWindow="630" windowWidth="28425" windowHeight="14370" activeTab="1" xr2:uid="{00000000-000D-0000-FFFF-FFFF00000000}"/>
  </bookViews>
  <sheets>
    <sheet name="Analisis de Datos" sheetId="2" r:id="rId1"/>
    <sheet name="Contratación 2023 (2)" sheetId="4" r:id="rId2"/>
    <sheet name="Lista"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1" hidden="1">'Contratación 2023 (2)'!$A$1:$BV$175</definedName>
    <definedName name="_Hlk125366930" localSheetId="1">'Contratación 2023 (2)'!$M$62</definedName>
    <definedName name="_xlnm.Print_Area" localSheetId="1">'Contratación 2023 (2)'!$A$1:$BV$319</definedName>
    <definedName name="incBuyerDossierDetaillnkRequestName" localSheetId="1">'Contratación 2023 (2)'!$M$61</definedName>
    <definedName name="millon">#REF!</definedName>
  </definedNames>
  <calcPr calcId="181029"/>
  <pivotCaches>
    <pivotCache cacheId="0" r:id="rId1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Y233" i="4" l="1"/>
  <c r="BT233" i="4" s="1"/>
  <c r="AS233" i="4"/>
  <c r="BJ233" i="4" s="1"/>
  <c r="BT232" i="4"/>
  <c r="AS232" i="4"/>
  <c r="BJ232" i="4" s="1"/>
  <c r="BT231" i="4"/>
  <c r="AS231" i="4"/>
  <c r="BT230" i="4"/>
  <c r="AS230" i="4"/>
  <c r="BT229" i="4"/>
  <c r="AS229" i="4"/>
  <c r="BT228" i="4"/>
  <c r="AS228" i="4"/>
  <c r="BT227" i="4"/>
  <c r="AS227" i="4"/>
  <c r="BT226" i="4"/>
  <c r="AS226" i="4"/>
  <c r="BT225" i="4"/>
  <c r="AS225" i="4"/>
  <c r="BJ92" i="4" l="1"/>
  <c r="AY92" i="4"/>
  <c r="BT92" i="4" s="1"/>
  <c r="BJ162" i="4"/>
  <c r="AY162" i="4"/>
  <c r="BT162" i="4" s="1"/>
  <c r="BT224" i="4"/>
  <c r="BJ224" i="4"/>
  <c r="AY224" i="4"/>
  <c r="AL224" i="4"/>
  <c r="BT223" i="4"/>
  <c r="BJ223" i="4"/>
  <c r="AY223" i="4"/>
  <c r="AY120" i="4" l="1"/>
  <c r="BT120" i="4" s="1"/>
  <c r="AY186" i="4"/>
  <c r="BT186" i="4" s="1"/>
  <c r="BT219" i="4"/>
  <c r="AY219" i="4"/>
  <c r="AL219" i="4"/>
  <c r="AS114" i="4" l="1"/>
  <c r="AS100" i="4"/>
  <c r="AS91" i="4"/>
  <c r="AS90" i="4"/>
  <c r="AY90" i="4"/>
  <c r="AY208" i="4"/>
  <c r="AY203" i="4"/>
  <c r="AY204" i="4"/>
  <c r="AY205" i="4"/>
  <c r="AY206" i="4"/>
  <c r="AY207" i="4"/>
  <c r="BJ87" i="4"/>
  <c r="AY87" i="4"/>
  <c r="BT87" i="4" s="1"/>
  <c r="AY136" i="4" l="1"/>
  <c r="AL136" i="4"/>
  <c r="BJ158" i="4" l="1"/>
  <c r="AY158" i="4"/>
  <c r="BT158" i="4" s="1"/>
  <c r="AY128" i="4" l="1"/>
  <c r="AL128" i="4"/>
  <c r="AY75" i="4"/>
  <c r="AL75" i="4"/>
  <c r="AY202" i="4" l="1"/>
  <c r="AY196" i="4"/>
  <c r="BT196" i="4" s="1"/>
  <c r="AS196" i="4"/>
  <c r="AY195" i="4"/>
  <c r="BT195" i="4" s="1"/>
  <c r="AS195" i="4"/>
  <c r="BJ195" i="4" s="1"/>
  <c r="AY190" i="4"/>
  <c r="BT190" i="4" s="1"/>
  <c r="AS190" i="4"/>
  <c r="BJ190" i="4" s="1"/>
  <c r="AY189" i="4"/>
  <c r="BT189" i="4" s="1"/>
  <c r="AS189" i="4"/>
  <c r="BJ189" i="4" s="1"/>
  <c r="AY188" i="4"/>
  <c r="BT188" i="4" s="1"/>
  <c r="AS188" i="4"/>
  <c r="BJ188" i="4" s="1"/>
  <c r="AY178" i="4"/>
  <c r="BT178" i="4" s="1"/>
  <c r="AS178" i="4"/>
  <c r="BJ178" i="4" s="1"/>
  <c r="AY176" i="4"/>
  <c r="BT176" i="4" s="1"/>
  <c r="AS176" i="4"/>
  <c r="BJ176" i="4" s="1"/>
  <c r="AL175" i="4"/>
  <c r="BJ174" i="4"/>
  <c r="AY174" i="4"/>
  <c r="BT174" i="4" s="1"/>
  <c r="AL174" i="4"/>
  <c r="AY173" i="4"/>
  <c r="AL173" i="4"/>
  <c r="AY172" i="4"/>
  <c r="AL172" i="4"/>
  <c r="AY171" i="4"/>
  <c r="AL171" i="4"/>
  <c r="AY170" i="4"/>
  <c r="AS170" i="4"/>
  <c r="AL170" i="4"/>
  <c r="AY169" i="4"/>
  <c r="AY168" i="4"/>
  <c r="BT168" i="4" s="1"/>
  <c r="AS168" i="4"/>
  <c r="BJ168" i="4" s="1"/>
  <c r="AY167" i="4"/>
  <c r="AY166" i="4"/>
  <c r="AL166" i="4"/>
  <c r="AY165" i="4"/>
  <c r="AL165" i="4"/>
  <c r="AY164" i="4"/>
  <c r="AY163" i="4"/>
  <c r="BT163" i="4" s="1"/>
  <c r="AS163" i="4"/>
  <c r="BJ163" i="4" s="1"/>
  <c r="BJ161" i="4"/>
  <c r="AY161" i="4"/>
  <c r="BT161" i="4" s="1"/>
  <c r="AY160" i="4"/>
  <c r="BT160" i="4" s="1"/>
  <c r="AS160" i="4"/>
  <c r="BJ160" i="4" s="1"/>
  <c r="BJ159" i="4"/>
  <c r="AY159" i="4"/>
  <c r="BT159" i="4" s="1"/>
  <c r="BJ157" i="4"/>
  <c r="AY157" i="4"/>
  <c r="BT157" i="4" s="1"/>
  <c r="BJ156" i="4"/>
  <c r="AY156" i="4"/>
  <c r="BT156" i="4" s="1"/>
  <c r="AY155" i="4"/>
  <c r="BT155" i="4" s="1"/>
  <c r="AS155" i="4"/>
  <c r="BJ155" i="4" s="1"/>
  <c r="AY154" i="4"/>
  <c r="BT154" i="4" s="1"/>
  <c r="AS154" i="4"/>
  <c r="BJ154" i="4" s="1"/>
  <c r="AY153" i="4"/>
  <c r="BT153" i="4" s="1"/>
  <c r="AS153" i="4"/>
  <c r="BJ153" i="4" s="1"/>
  <c r="AY152" i="4"/>
  <c r="BT152" i="4" s="1"/>
  <c r="AS152" i="4"/>
  <c r="BJ152" i="4" s="1"/>
  <c r="AL151" i="4"/>
  <c r="AY150" i="4"/>
  <c r="BT150" i="4" s="1"/>
  <c r="AS150" i="4"/>
  <c r="BJ150" i="4" s="1"/>
  <c r="BJ149" i="4"/>
  <c r="AY149" i="4"/>
  <c r="BT149" i="4" s="1"/>
  <c r="AL149" i="4"/>
  <c r="AY148" i="4"/>
  <c r="AS148" i="4"/>
  <c r="AL148" i="4"/>
  <c r="AY147" i="4"/>
  <c r="BT147" i="4" s="1"/>
  <c r="AS147" i="4"/>
  <c r="BJ147" i="4" s="1"/>
  <c r="AL146" i="4"/>
  <c r="AL145" i="4"/>
  <c r="AY144" i="4"/>
  <c r="AL144" i="4"/>
  <c r="AY143" i="4"/>
  <c r="BT143" i="4" s="1"/>
  <c r="AS143" i="4"/>
  <c r="BJ143" i="4" s="1"/>
  <c r="BT142" i="4"/>
  <c r="AL141" i="4"/>
  <c r="AL140" i="4"/>
  <c r="AY139" i="4"/>
  <c r="BT139" i="4" s="1"/>
  <c r="AS139" i="4"/>
  <c r="BJ139" i="4" s="1"/>
  <c r="AL138" i="4"/>
  <c r="AL137" i="4"/>
  <c r="BJ135" i="4"/>
  <c r="AY135" i="4"/>
  <c r="BT135" i="4" s="1"/>
  <c r="AL135" i="4"/>
  <c r="AL134" i="4"/>
  <c r="AY133" i="4"/>
  <c r="BT133" i="4" s="1"/>
  <c r="AS133" i="4"/>
  <c r="BJ133" i="4" s="1"/>
  <c r="AY132" i="4"/>
  <c r="BT132" i="4" s="1"/>
  <c r="AS132" i="4"/>
  <c r="BJ132" i="4" s="1"/>
  <c r="BJ131" i="4"/>
  <c r="AY130" i="4"/>
  <c r="BT130" i="4" s="1"/>
  <c r="AS130" i="4"/>
  <c r="BJ130" i="4" s="1"/>
  <c r="AL129" i="4"/>
  <c r="M129" i="4"/>
  <c r="N129" i="4" s="1"/>
  <c r="O129" i="4" s="1"/>
  <c r="P129" i="4" s="1"/>
  <c r="Q129" i="4" s="1"/>
  <c r="R129" i="4" s="1"/>
  <c r="S129" i="4" s="1"/>
  <c r="T129" i="4" s="1"/>
  <c r="U129" i="4" s="1"/>
  <c r="V129" i="4" s="1"/>
  <c r="W129" i="4" s="1"/>
  <c r="X129" i="4" s="1"/>
  <c r="Y129" i="4" s="1"/>
  <c r="Z129" i="4" s="1"/>
  <c r="AA129" i="4" s="1"/>
  <c r="AB129" i="4" s="1"/>
  <c r="AC129" i="4" s="1"/>
  <c r="AD129" i="4" s="1"/>
  <c r="AE129" i="4" s="1"/>
  <c r="AF129" i="4" s="1"/>
  <c r="AG129" i="4" s="1"/>
  <c r="AH129" i="4" s="1"/>
  <c r="AI129" i="4" s="1"/>
  <c r="AY127" i="4"/>
  <c r="BT127" i="4" s="1"/>
  <c r="AS127" i="4"/>
  <c r="BJ127" i="4" s="1"/>
  <c r="AY126" i="4"/>
  <c r="BT126" i="4" s="1"/>
  <c r="AS126" i="4"/>
  <c r="BJ126" i="4" s="1"/>
  <c r="BJ125" i="4"/>
  <c r="AY124" i="4"/>
  <c r="BT124" i="4" s="1"/>
  <c r="AS124" i="4"/>
  <c r="BJ124" i="4" s="1"/>
  <c r="AY123" i="4"/>
  <c r="BT123" i="4" s="1"/>
  <c r="AS123" i="4"/>
  <c r="BJ123" i="4" s="1"/>
  <c r="AY122" i="4"/>
  <c r="BT122" i="4" s="1"/>
  <c r="AS122" i="4"/>
  <c r="BJ122" i="4" s="1"/>
  <c r="AY121" i="4"/>
  <c r="BT121" i="4" s="1"/>
  <c r="AS121" i="4"/>
  <c r="BJ121" i="4" s="1"/>
  <c r="BJ119" i="4"/>
  <c r="AY119" i="4"/>
  <c r="BT119" i="4" s="1"/>
  <c r="AL119" i="4"/>
  <c r="AL118" i="4"/>
  <c r="AL117" i="4"/>
  <c r="AL116" i="4"/>
  <c r="BJ115" i="4"/>
  <c r="AY115" i="4"/>
  <c r="BT115" i="4" s="1"/>
  <c r="AL115" i="4"/>
  <c r="AY114" i="4"/>
  <c r="AL113" i="4"/>
  <c r="BJ112" i="4"/>
  <c r="AY112" i="4"/>
  <c r="BT112" i="4" s="1"/>
  <c r="AL111" i="4"/>
  <c r="AL110" i="4"/>
  <c r="AL109" i="4"/>
  <c r="AL108" i="4"/>
  <c r="BJ107" i="4"/>
  <c r="AY107" i="4"/>
  <c r="BT107" i="4" s="1"/>
  <c r="AL107" i="4"/>
  <c r="BJ106" i="4"/>
  <c r="AY106" i="4"/>
  <c r="BT106" i="4" s="1"/>
  <c r="AL106" i="4"/>
  <c r="BJ105" i="4"/>
  <c r="AY105" i="4"/>
  <c r="BT105" i="4" s="1"/>
  <c r="AL105" i="4"/>
  <c r="BJ104" i="4"/>
  <c r="AY104" i="4"/>
  <c r="BT104" i="4" s="1"/>
  <c r="AL104" i="4"/>
  <c r="BJ103" i="4"/>
  <c r="AY103" i="4"/>
  <c r="BT103" i="4" s="1"/>
  <c r="AL103" i="4"/>
  <c r="BJ102" i="4"/>
  <c r="AY102" i="4"/>
  <c r="BT102" i="4" s="1"/>
  <c r="AL102" i="4"/>
  <c r="BJ101" i="4"/>
  <c r="AY101" i="4"/>
  <c r="BT101" i="4" s="1"/>
  <c r="AL101" i="4"/>
  <c r="AY100" i="4"/>
  <c r="AL99" i="4"/>
  <c r="BJ98" i="4"/>
  <c r="AY98" i="4"/>
  <c r="BT98" i="4" s="1"/>
  <c r="BJ97" i="4"/>
  <c r="AY97" i="4"/>
  <c r="BT97" i="4" s="1"/>
  <c r="BJ96" i="4"/>
  <c r="AY96" i="4"/>
  <c r="BT96" i="4" s="1"/>
  <c r="BJ95" i="4"/>
  <c r="AY95" i="4"/>
  <c r="BT95" i="4" s="1"/>
  <c r="BJ94" i="4"/>
  <c r="AY94" i="4"/>
  <c r="BT94" i="4" s="1"/>
  <c r="BJ93" i="4"/>
  <c r="AY93" i="4"/>
  <c r="BT93" i="4" s="1"/>
  <c r="AY91" i="4"/>
  <c r="AS89" i="4"/>
  <c r="AY88" i="4"/>
  <c r="BJ86" i="4"/>
  <c r="AY86" i="4"/>
  <c r="BT86" i="4" s="1"/>
  <c r="AY85" i="4"/>
  <c r="BT85" i="4" s="1"/>
  <c r="AS85" i="4"/>
  <c r="AL85" i="4"/>
  <c r="AY84" i="4"/>
  <c r="BT84" i="4" s="1"/>
  <c r="AS84" i="4"/>
  <c r="AL84" i="4"/>
  <c r="AY83" i="4"/>
  <c r="BJ82" i="4"/>
  <c r="AY82" i="4"/>
  <c r="BT82" i="4" s="1"/>
  <c r="AS81" i="4"/>
  <c r="AS80" i="4"/>
  <c r="AS79" i="4"/>
  <c r="BJ78" i="4"/>
  <c r="AY78" i="4"/>
  <c r="BT78" i="4" s="1"/>
  <c r="BJ77" i="4"/>
  <c r="AY77" i="4"/>
  <c r="BT77" i="4" s="1"/>
  <c r="AL77" i="4"/>
  <c r="AS76" i="4"/>
  <c r="BJ74" i="4"/>
  <c r="AY74" i="4"/>
  <c r="BT74" i="4" s="1"/>
  <c r="AL74" i="4"/>
  <c r="BJ73" i="4"/>
  <c r="AY73" i="4"/>
  <c r="BT73" i="4" s="1"/>
  <c r="BJ72" i="4"/>
  <c r="AY72" i="4"/>
  <c r="BT72" i="4" s="1"/>
  <c r="AL72" i="4"/>
  <c r="AS71" i="4"/>
  <c r="AS70" i="4"/>
  <c r="AS69" i="4"/>
  <c r="AS68" i="4"/>
  <c r="AS67" i="4"/>
  <c r="BJ66" i="4"/>
  <c r="AY66" i="4"/>
  <c r="BT66" i="4" s="1"/>
  <c r="AS66" i="4"/>
  <c r="AL66" i="4"/>
  <c r="BJ65" i="4"/>
  <c r="AY65" i="4"/>
  <c r="BT65" i="4" s="1"/>
  <c r="AL65" i="4"/>
  <c r="BJ64" i="4"/>
  <c r="AY64" i="4"/>
  <c r="BT64" i="4" s="1"/>
  <c r="AS64" i="4"/>
  <c r="AL64" i="4"/>
  <c r="AY63" i="4"/>
  <c r="BJ62" i="4"/>
  <c r="AY62" i="4"/>
  <c r="BT62" i="4" s="1"/>
  <c r="AL62" i="4"/>
  <c r="BJ61" i="4"/>
  <c r="AY61" i="4"/>
  <c r="BT61" i="4" s="1"/>
  <c r="AL61" i="4"/>
  <c r="BJ60" i="4"/>
  <c r="AY60" i="4"/>
  <c r="BT60" i="4" s="1"/>
  <c r="AS60" i="4"/>
  <c r="AL60" i="4"/>
  <c r="BJ59" i="4"/>
  <c r="AY59" i="4"/>
  <c r="BT59" i="4" s="1"/>
  <c r="AS59" i="4"/>
  <c r="AL59" i="4"/>
  <c r="BJ58" i="4"/>
  <c r="AY58" i="4"/>
  <c r="BT58" i="4" s="1"/>
  <c r="AS58" i="4"/>
  <c r="AL58" i="4"/>
  <c r="BJ57" i="4"/>
  <c r="AY57" i="4"/>
  <c r="BT57" i="4" s="1"/>
  <c r="AS57" i="4"/>
  <c r="AL57" i="4"/>
  <c r="BJ56" i="4"/>
  <c r="AY56" i="4"/>
  <c r="BT56" i="4" s="1"/>
  <c r="AL56" i="4"/>
  <c r="BJ55" i="4"/>
  <c r="AY55" i="4"/>
  <c r="BT55" i="4" s="1"/>
  <c r="AL55" i="4"/>
  <c r="BJ54" i="4"/>
  <c r="AY54" i="4"/>
  <c r="AL54" i="4"/>
  <c r="BJ53" i="4"/>
  <c r="AY53" i="4"/>
  <c r="BT53" i="4" s="1"/>
  <c r="AS53" i="4"/>
  <c r="AL53" i="4"/>
  <c r="BJ52" i="4"/>
  <c r="AY52" i="4"/>
  <c r="BT52" i="4" s="1"/>
  <c r="AL52" i="4"/>
  <c r="BJ51" i="4"/>
  <c r="AY51" i="4"/>
  <c r="BT51" i="4" s="1"/>
  <c r="AL51" i="4"/>
  <c r="BJ50" i="4"/>
  <c r="AY50" i="4"/>
  <c r="BT50" i="4" s="1"/>
  <c r="AS50" i="4"/>
  <c r="AL50" i="4"/>
  <c r="BJ49" i="4"/>
  <c r="AY49" i="4"/>
  <c r="BT49" i="4" s="1"/>
  <c r="AS49" i="4"/>
  <c r="AL49" i="4"/>
  <c r="BJ48" i="4"/>
  <c r="AY48" i="4"/>
  <c r="AL48" i="4"/>
  <c r="BJ47" i="4"/>
  <c r="AY47" i="4"/>
  <c r="BT47" i="4" s="1"/>
  <c r="AL47" i="4"/>
  <c r="BJ46" i="4"/>
  <c r="AY46" i="4"/>
  <c r="BT46" i="4" s="1"/>
  <c r="AL46" i="4"/>
  <c r="BJ45" i="4"/>
  <c r="AY45" i="4"/>
  <c r="BT45" i="4" s="1"/>
  <c r="AL45" i="4"/>
  <c r="BJ44" i="4"/>
  <c r="AY44" i="4"/>
  <c r="BT44" i="4" s="1"/>
  <c r="AL44" i="4"/>
  <c r="BJ43" i="4"/>
  <c r="AY43" i="4"/>
  <c r="BT43" i="4" s="1"/>
  <c r="AL43" i="4"/>
  <c r="BJ42" i="4"/>
  <c r="AY42" i="4"/>
  <c r="BT42" i="4" s="1"/>
  <c r="AL42" i="4"/>
  <c r="BJ41" i="4"/>
  <c r="AY41" i="4"/>
  <c r="BT41" i="4" s="1"/>
  <c r="AL41" i="4"/>
  <c r="BJ40" i="4"/>
  <c r="AY40" i="4"/>
  <c r="BT40" i="4" s="1"/>
  <c r="AL40" i="4"/>
  <c r="BJ39" i="4"/>
  <c r="AY39" i="4"/>
  <c r="BT39" i="4" s="1"/>
  <c r="AL39" i="4"/>
  <c r="BJ38" i="4"/>
  <c r="AY38" i="4"/>
  <c r="BT38" i="4" s="1"/>
  <c r="AL38" i="4"/>
  <c r="BJ37" i="4"/>
  <c r="AY37" i="4"/>
  <c r="BT37" i="4" s="1"/>
  <c r="AL37" i="4"/>
  <c r="BJ36" i="4"/>
  <c r="AY36" i="4"/>
  <c r="BT36" i="4" s="1"/>
  <c r="AL36" i="4"/>
  <c r="BJ35" i="4"/>
  <c r="AY35" i="4"/>
  <c r="BT35" i="4" s="1"/>
  <c r="AL35" i="4"/>
  <c r="BJ34" i="4"/>
  <c r="AY34" i="4"/>
  <c r="BT34" i="4" s="1"/>
  <c r="AL34" i="4"/>
  <c r="BJ33" i="4"/>
  <c r="AY33" i="4"/>
  <c r="BT33" i="4" s="1"/>
  <c r="AL33" i="4"/>
  <c r="BJ32" i="4"/>
  <c r="AY32" i="4"/>
  <c r="BT32" i="4" s="1"/>
  <c r="AL32" i="4"/>
  <c r="BJ31" i="4"/>
  <c r="AY31" i="4"/>
  <c r="BT31" i="4" s="1"/>
  <c r="AL31" i="4"/>
  <c r="BJ30" i="4"/>
  <c r="AY30" i="4"/>
  <c r="BT30" i="4" s="1"/>
  <c r="AL30" i="4"/>
  <c r="BJ29" i="4"/>
  <c r="AY29" i="4"/>
  <c r="BT29" i="4" s="1"/>
  <c r="AL29" i="4"/>
  <c r="BJ28" i="4"/>
  <c r="AY28" i="4"/>
  <c r="BT28" i="4" s="1"/>
  <c r="AL28" i="4"/>
  <c r="BJ27" i="4"/>
  <c r="AY27" i="4"/>
  <c r="BT27" i="4" s="1"/>
  <c r="AL27" i="4"/>
  <c r="BJ26" i="4"/>
  <c r="AY26" i="4"/>
  <c r="BT26" i="4" s="1"/>
  <c r="AS26" i="4"/>
  <c r="AL26" i="4"/>
  <c r="BJ25" i="4"/>
  <c r="AY25" i="4"/>
  <c r="BT25" i="4" s="1"/>
  <c r="AL25" i="4"/>
  <c r="BJ24" i="4"/>
  <c r="AY24" i="4"/>
  <c r="BT24" i="4" s="1"/>
  <c r="AS24" i="4"/>
  <c r="AL24" i="4"/>
  <c r="BJ23" i="4"/>
  <c r="AY23" i="4"/>
  <c r="BT23" i="4" s="1"/>
  <c r="AS23" i="4"/>
  <c r="AL23" i="4"/>
  <c r="BJ22" i="4"/>
  <c r="AY22" i="4"/>
  <c r="BT22" i="4" s="1"/>
  <c r="AL22" i="4"/>
  <c r="BJ21" i="4"/>
  <c r="AY21" i="4"/>
  <c r="BT21" i="4" s="1"/>
  <c r="AL21" i="4"/>
  <c r="BJ20" i="4"/>
  <c r="AY20" i="4"/>
  <c r="BT20" i="4" s="1"/>
  <c r="AS20" i="4"/>
  <c r="AL20" i="4"/>
  <c r="BJ19" i="4"/>
  <c r="AY19" i="4"/>
  <c r="BT19" i="4" s="1"/>
  <c r="AL19" i="4"/>
  <c r="BJ18" i="4"/>
  <c r="AY18" i="4"/>
  <c r="BT18" i="4" s="1"/>
  <c r="AL18" i="4"/>
  <c r="BJ17" i="4"/>
  <c r="AY17" i="4"/>
  <c r="BT17" i="4" s="1"/>
  <c r="AL17" i="4"/>
  <c r="BJ16" i="4"/>
  <c r="AY16" i="4"/>
  <c r="BT16" i="4" s="1"/>
  <c r="AL16" i="4"/>
  <c r="BJ15" i="4"/>
  <c r="AY15" i="4"/>
  <c r="BT15" i="4" s="1"/>
  <c r="AL15" i="4"/>
  <c r="BJ14" i="4"/>
  <c r="AY14" i="4"/>
  <c r="BT14" i="4" s="1"/>
  <c r="AL14" i="4"/>
  <c r="BJ13" i="4"/>
  <c r="AY13" i="4"/>
  <c r="BT13" i="4" s="1"/>
  <c r="AL13" i="4"/>
  <c r="BJ12" i="4"/>
  <c r="AY12" i="4"/>
  <c r="BT12" i="4" s="1"/>
  <c r="AL12" i="4"/>
  <c r="BJ11" i="4"/>
  <c r="AY11" i="4"/>
  <c r="BT11" i="4" s="1"/>
  <c r="AS11" i="4"/>
  <c r="AL11" i="4"/>
  <c r="BJ10" i="4"/>
  <c r="AY10" i="4"/>
  <c r="BT10" i="4" s="1"/>
  <c r="AS10" i="4"/>
  <c r="AL10" i="4"/>
  <c r="BJ9" i="4"/>
  <c r="AY9" i="4"/>
  <c r="BT9" i="4" s="1"/>
  <c r="AS9" i="4"/>
  <c r="AL9" i="4"/>
  <c r="BJ8" i="4"/>
  <c r="AY8" i="4"/>
  <c r="BT8" i="4" s="1"/>
  <c r="AL8" i="4"/>
  <c r="BJ7" i="4"/>
  <c r="AY7" i="4"/>
  <c r="BT7" i="4" s="1"/>
  <c r="AL7" i="4"/>
  <c r="BJ6" i="4"/>
  <c r="AY6" i="4"/>
  <c r="BT6" i="4" s="1"/>
  <c r="AL6" i="4"/>
  <c r="BJ5" i="4"/>
  <c r="AY5" i="4"/>
  <c r="BT5" i="4" s="1"/>
  <c r="AL5" i="4"/>
  <c r="BJ4" i="4"/>
  <c r="AY4" i="4"/>
  <c r="BT4" i="4" s="1"/>
  <c r="AL4" i="4"/>
  <c r="BJ3" i="4"/>
  <c r="AY3" i="4"/>
  <c r="BT3" i="4" s="1"/>
  <c r="AL3" i="4"/>
  <c r="BJ2" i="4"/>
  <c r="AY2" i="4"/>
  <c r="BT2" i="4" s="1"/>
  <c r="AL2" i="4"/>
</calcChain>
</file>

<file path=xl/sharedStrings.xml><?xml version="1.0" encoding="utf-8"?>
<sst xmlns="http://schemas.openxmlformats.org/spreadsheetml/2006/main" count="5670" uniqueCount="1573">
  <si>
    <t>PLATAFORMA</t>
  </si>
  <si>
    <t xml:space="preserve">CONSECUTIVO PAABS EXCEL Y ESTUDIOS PREVIOS </t>
  </si>
  <si>
    <t>EXPEDIENTE</t>
  </si>
  <si>
    <t xml:space="preserve">N°PROCESO EN SECOP / No. EVENTO </t>
  </si>
  <si>
    <t>MES</t>
  </si>
  <si>
    <t>FECHA PUBLICACION PROCESO SECOP II-TIENDA VIRTUAL</t>
  </si>
  <si>
    <t>MODALIDAD</t>
  </si>
  <si>
    <t>CAUSAL</t>
  </si>
  <si>
    <t>OBJETO</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</si>
  <si>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</si>
  <si>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</si>
  <si>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</si>
  <si>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</si>
  <si>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</si>
  <si>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</si>
  <si>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</si>
  <si>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</si>
  <si>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</si>
  <si>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</si>
  <si>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FECHA DE FIRMA CONTRATO</t>
  </si>
  <si>
    <t>TIPO DE CONTRATO</t>
  </si>
  <si>
    <t>OTRO TIPO DE CONTRATO</t>
  </si>
  <si>
    <t>REGIONAL</t>
  </si>
  <si>
    <t>CONTRATISTA</t>
  </si>
  <si>
    <t>IDENTIFICACION</t>
  </si>
  <si>
    <t>DV</t>
  </si>
  <si>
    <t>N° RP</t>
  </si>
  <si>
    <t>FECHA RP</t>
  </si>
  <si>
    <t>VALOR VF 2024</t>
  </si>
  <si>
    <t>VALOR VF 2025</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</si>
  <si>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</si>
  <si>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</si>
  <si>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</si>
  <si>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</si>
  <si>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</si>
  <si>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</si>
  <si>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</si>
  <si>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</si>
  <si>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</si>
  <si>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</si>
  <si>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</si>
  <si>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</si>
  <si>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</si>
  <si>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LIBERACION</t>
  </si>
  <si>
    <t xml:space="preserve">FECHA LIBERACION </t>
  </si>
  <si>
    <t>VALOR TOTAL DEL CONTRATO CON ADICIONES VIGENCIA</t>
  </si>
  <si>
    <t>PRORROGA 1  EN DIAS</t>
  </si>
  <si>
    <t>FECHADE TERMINACION DEL CONTRATO</t>
  </si>
  <si>
    <t>FECHA FIRMA DEL DOCUMENTO</t>
  </si>
  <si>
    <t>PRORROGA 2 EN DIAS</t>
  </si>
  <si>
    <t>PRORROGA 3 EN DIAS</t>
  </si>
  <si>
    <t>TIEMPO DE EJECUCION DEL CONTRATO CON LAS PRORROGAS</t>
  </si>
  <si>
    <t>FECHA DE LIQUIDACION DEL CONTRATO</t>
  </si>
  <si>
    <t xml:space="preserve">OBSERVACION </t>
  </si>
  <si>
    <t>Secop II</t>
  </si>
  <si>
    <t>Alejandra María Arcos Medina</t>
  </si>
  <si>
    <t>20236211413000002E</t>
  </si>
  <si>
    <t>Enero</t>
  </si>
  <si>
    <t>PCD-003-2023-48SYF</t>
  </si>
  <si>
    <t>Contratación Directa</t>
  </si>
  <si>
    <t xml:space="preserve">Prestación de Servicios Profesionales </t>
  </si>
  <si>
    <t>Subdirección Administrativa y Financiera</t>
  </si>
  <si>
    <t>Servicios de gestión, servicios profesionales de empresa y servicios administrativos</t>
  </si>
  <si>
    <t>A-02-02-02-008-003</t>
  </si>
  <si>
    <t>Celebrado</t>
  </si>
  <si>
    <t>En ejecución</t>
  </si>
  <si>
    <t>CO-016-2023</t>
  </si>
  <si>
    <t>Prestación de Servicios Profesionales</t>
  </si>
  <si>
    <t>Nivel Central</t>
  </si>
  <si>
    <t>Bogotá D.C.</t>
  </si>
  <si>
    <t>CO-007-2023</t>
  </si>
  <si>
    <t>CESAR DAVID CAPACHO PINEDA</t>
  </si>
  <si>
    <t>VALOR  2023</t>
  </si>
  <si>
    <t>VALOR VF 2026</t>
  </si>
  <si>
    <t>2 CUMPLIMIENTO</t>
  </si>
  <si>
    <t xml:space="preserve">Si </t>
  </si>
  <si>
    <t>20233001413000002E</t>
  </si>
  <si>
    <t>PCD-008-2023-5CM</t>
  </si>
  <si>
    <t>Subdireccion de Control Migratorio</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</si>
  <si>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</si>
  <si>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</si>
  <si>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</si>
  <si>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</si>
  <si>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</si>
  <si>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20232501413000009E</t>
  </si>
  <si>
    <t>PCD-009-2023-9TEC</t>
  </si>
  <si>
    <t>Oficina de Tecnología de la Informacion</t>
  </si>
  <si>
    <t>Contratar la prestación de los servicios profesionales para administrar y desarrollar funcionalidades en el bus de datos Oracle</t>
  </si>
  <si>
    <t>Servicios Basados en Ingeniería, Investigación y Tecnología</t>
  </si>
  <si>
    <t>C-1199-1002-10-0-1199001-02</t>
  </si>
  <si>
    <t>CO-039-2023</t>
  </si>
  <si>
    <t>ANA JOHANA CAMELO BARRERA</t>
  </si>
  <si>
    <t>DIEGO EMILIO OJEDA MONCAYO</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</si>
  <si>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</si>
  <si>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</si>
  <si>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</si>
  <si>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CO-041-2023</t>
  </si>
  <si>
    <t>DANIEL MAURICIO AREVALO RAMIEZ</t>
  </si>
  <si>
    <t>20232401413000001E</t>
  </si>
  <si>
    <t xml:space="preserve">Oficina de Comunicaciones </t>
  </si>
  <si>
    <t>CONTRATAR LA PRESTACIÓN DE LOS SERVICIOS PROFESIONALES PARA LA OFICINA DE COMUNICACIONES, REALIZANDO LA GENERACIÓN DE CONTENIDOS DIGITALES EXTERNOS, PRODUCCIÓN DE EVENTOS CON GOBIERNO, GENERACIÓN DE CONTENIDOS WEB Y DISEÑO DE CAMPAÑAS INSTITUCIONALES</t>
  </si>
  <si>
    <t>20232501413000012E</t>
  </si>
  <si>
    <t>PCD-018-2023-4COM</t>
  </si>
  <si>
    <t>PCD-020-2023-12TEC</t>
  </si>
  <si>
    <t>Contratar la prestación de los servicios profesionales para administrar el centro de datos de la unidad
administrativa especial Migración Colombia.</t>
  </si>
  <si>
    <t>CO-027-2023</t>
  </si>
  <si>
    <t>JAIME ALEXANDER MÉNDEZ PULECIO</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</si>
  <si>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</si>
  <si>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</si>
  <si>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</si>
  <si>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</si>
  <si>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</si>
  <si>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</si>
  <si>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</si>
  <si>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</si>
  <si>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20232401413000004E</t>
  </si>
  <si>
    <t>PCD-027-2023-2COM</t>
  </si>
  <si>
    <t>Prestacion de Servicios de Apoyo a la Gestion</t>
  </si>
  <si>
    <t>Contratar la prestación de los servicios técnicos y administrativos como apoyo a la gestión de la Oficina de Comunicaciones para el manejo de las redes sociales de la entidad.</t>
  </si>
  <si>
    <t>CO-024-2023</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</si>
  <si>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</si>
  <si>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</si>
  <si>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</si>
  <si>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</si>
  <si>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MARGARITA MARIA BAUTISTA MARTINEZ</t>
  </si>
  <si>
    <t>20236231414000002E</t>
  </si>
  <si>
    <t>PCD-061-2023-33SYF</t>
  </si>
  <si>
    <t>Febrero</t>
  </si>
  <si>
    <t>Arrendamiento</t>
  </si>
  <si>
    <t>Contratar el arriendo del parqueadero para el CFSM en la ciudad de Valledupar</t>
  </si>
  <si>
    <t>Alquiler y arrendamiento de propiedades o edificaciones.</t>
  </si>
  <si>
    <t>A-02-02-02-007-002</t>
  </si>
  <si>
    <t>Desierto</t>
  </si>
  <si>
    <t>Cancelado</t>
  </si>
  <si>
    <t>20236311413000001E</t>
  </si>
  <si>
    <t>PCD-004-2023-1D</t>
  </si>
  <si>
    <t>Dirección General</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</si>
  <si>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</si>
  <si>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Servicios de oficina</t>
  </si>
  <si>
    <t>CO-001-2023</t>
  </si>
  <si>
    <t>LESLIE CATALINA ESPARZA NARANJO</t>
  </si>
  <si>
    <t>-</t>
  </si>
  <si>
    <t>MARTHA EUGENIA RAMOS OSPINA</t>
  </si>
  <si>
    <t>20236011413000002E</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</si>
  <si>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</si>
  <si>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CO-050-2023</t>
  </si>
  <si>
    <t>LUIS FERNANDO MARTÍNEZ VARGAS</t>
  </si>
  <si>
    <t>MARIA PAULA AVILA GONZALEZ</t>
  </si>
  <si>
    <t>20232121413000001E</t>
  </si>
  <si>
    <t>PCD-001-2023-1P</t>
  </si>
  <si>
    <t>Oficina Asesora de Planeación</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</si>
  <si>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</si>
  <si>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Servicios de personal temporal</t>
  </si>
  <si>
    <t>C-1199-1002-11-0-1199060-02</t>
  </si>
  <si>
    <t>CO-002-2023</t>
  </si>
  <si>
    <t>ANA MARIA OCHOA TABARES</t>
  </si>
  <si>
    <t>JORGE ENRIQUE GARCIA LONDOÑO</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</si>
  <si>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</si>
  <si>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</si>
  <si>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</si>
  <si>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</si>
  <si>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</si>
  <si>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</si>
  <si>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</si>
  <si>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20232241413000002E</t>
  </si>
  <si>
    <t>PCD-037-2023-1J</t>
  </si>
  <si>
    <t>Oficina Asesora Jurídica</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</si>
  <si>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</si>
  <si>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81101508;80161500;80161504;80121704</t>
  </si>
  <si>
    <t>Ingeniería arquitectónica - Servicios de apoyo gerencial - Servicios de oficina - Servicios legales sobre contratos</t>
  </si>
  <si>
    <t>CO-029-2023</t>
  </si>
  <si>
    <t>ANA CONSTANZA POLANIA</t>
  </si>
  <si>
    <t>CARLOS JULIO AVILA CORONEL</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</si>
  <si>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</si>
  <si>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</si>
  <si>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</si>
  <si>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</si>
  <si>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</si>
  <si>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</si>
  <si>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20232501413000001E</t>
  </si>
  <si>
    <t>PCD-015-2023-1TEC</t>
  </si>
  <si>
    <t>PRESTAR LOS SERVICIOS PROFESIONALES PARA DESARROLLAR ACTIVIDADES RELACIONADAS CON TEMAS CONTRACTUALES  DE LA OFICINA DE TECNOLOGÍA DE LA INFORMACIÓN DE MIGRACIÓN COLOMBIA.</t>
  </si>
  <si>
    <t>81111800;80111600</t>
  </si>
  <si>
    <t>Servicios de sistemas y administración de componentes de sistemas - Servicios de personal temporal</t>
  </si>
  <si>
    <t>CO-005-2023</t>
  </si>
  <si>
    <t>NORA CONSTANZA PARRA NARANJO</t>
  </si>
  <si>
    <t>20236001413000003E</t>
  </si>
  <si>
    <t>PCD-019-2023-2SG</t>
  </si>
  <si>
    <t>Secretaria General</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</si>
  <si>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</si>
  <si>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</si>
  <si>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</si>
  <si>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</si>
  <si>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</si>
  <si>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</si>
  <si>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</si>
  <si>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</si>
  <si>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</si>
  <si>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CLAUDIA PATRICIA APONTE BELEÑO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</si>
  <si>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</si>
  <si>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</si>
  <si>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</si>
  <si>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</si>
  <si>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</si>
  <si>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</si>
  <si>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</si>
  <si>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GUSTAVO ALBERTO PADILLA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</si>
  <si>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</si>
  <si>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</si>
  <si>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</si>
  <si>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</si>
  <si>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</si>
  <si>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</si>
  <si>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20235051413000001E</t>
  </si>
  <si>
    <t>PCD-016-2023-1V</t>
  </si>
  <si>
    <t>Subdirección de Verificación Migratoria</t>
  </si>
  <si>
    <t>PRESTACIÓN DE SERVICIOS PROFESIONALES CON AUTONOMÍA TÉCNICA Y ADMINISTRATIVA DE APOYO A LA SUBDIRECCIÓN DE VERIFICACIONES EN ASUNTOS DE ESTADÍSTICA Y VISUALIZACIÓN DE DATOS</t>
  </si>
  <si>
    <t>81101508;80161504;80121704;81112002;</t>
  </si>
  <si>
    <t>Ingeniería arquitectónica - Servicios de oficina - Servicios legales sobre contratos - Servicios de procesamiento o preparación de dato</t>
  </si>
  <si>
    <t>CO-008-2023</t>
  </si>
  <si>
    <t>JAIRO DANILO GUTIERREZ CASTILLO</t>
  </si>
  <si>
    <t>Dayanna Prieto Villalba</t>
  </si>
  <si>
    <t>20232501413000003E</t>
  </si>
  <si>
    <t xml:space="preserve">contratacion directa </t>
  </si>
  <si>
    <t>prestacion de servicios profesionales</t>
  </si>
  <si>
    <t>oficina tecnologias de la informacion</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</si>
  <si>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</si>
  <si>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81-11-15</t>
  </si>
  <si>
    <t>Servicios Basados en Ingeniería, Investigación y Tecnología -Servicios informáticos-Ingeniería de software o hardware</t>
  </si>
  <si>
    <t>CO-031-2023</t>
  </si>
  <si>
    <t>si</t>
  </si>
  <si>
    <t>20232501413000006E</t>
  </si>
  <si>
    <t>Contratar la prestación de los servicios profesionales, para las actividades propias del desarrollo de aplicaciones java de los requerimientos e incidentes de la unidad administrativa especial migración Colombia</t>
  </si>
  <si>
    <t>CO-032-2023</t>
  </si>
  <si>
    <t>20232501413000004E</t>
  </si>
  <si>
    <t>CO-033-2023</t>
  </si>
  <si>
    <t>BALDWIN GABRIEL MONTES PEREZ</t>
  </si>
  <si>
    <t>20232501413000005E</t>
  </si>
  <si>
    <t>Contratar la prestación de los servicios profesionales, para las actividades propias del desarrollo de aplicaciones java de los requerimientos e incidentes de la unidad administrativa especial Migración Colombia</t>
  </si>
  <si>
    <t>CO-034-2023</t>
  </si>
  <si>
    <t>20232501413000007E</t>
  </si>
  <si>
    <t>Contratar la prestación de servicios profesionales para la configuración de ambientes, aplicaciones y versionamiento de código fuente de los sistemas de información de Migración Colombia</t>
  </si>
  <si>
    <t>CO-035-2023</t>
  </si>
  <si>
    <t>20232261413000001E</t>
  </si>
  <si>
    <t>oficina asesora juridica</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</si>
  <si>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</si>
  <si>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80-16-15-04</t>
  </si>
  <si>
    <t>Servicios de Gestión, Servicios Profesionales de Empresa y Servicios Administrativos- Servicios de Administración de Empresas- Servicios de Apoyo Gerencial- Servicios de oficina</t>
  </si>
  <si>
    <t>CO-036-2023</t>
  </si>
  <si>
    <t>20232401413000003E</t>
  </si>
  <si>
    <t xml:space="preserve">oficina  de  comunicaciones </t>
  </si>
  <si>
    <t>Contratar la prestación de los servicios técnicos y administrativos como apoyo a la gestión de la Oficina de Comunicaciones y Servicio al Ciudadano</t>
  </si>
  <si>
    <t>CO-043-2023</t>
  </si>
  <si>
    <t>EDGAR AURELIO MATIZ MENJURA</t>
  </si>
  <si>
    <t>20232401413000002E</t>
  </si>
  <si>
    <t>Contratar la prestación de los servicios profesionales para la Oficina de Comunicaciones como apoyo a la gestión y producción con los medios masivos de comunicación</t>
  </si>
  <si>
    <t>80-16-15-05</t>
  </si>
  <si>
    <t>CO--045-2023</t>
  </si>
  <si>
    <t>20236111413000001E</t>
  </si>
  <si>
    <t>subdireccion talento humano</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</si>
  <si>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</si>
  <si>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</si>
  <si>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</si>
  <si>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</si>
  <si>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</si>
  <si>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20232241413000004E</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</si>
  <si>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</si>
  <si>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CO-048-2023</t>
  </si>
  <si>
    <t>NUBIA AMPARO RODRIGUEZ MORENO</t>
  </si>
  <si>
    <t>20232501413000002E</t>
  </si>
  <si>
    <t>Contratar la prestación de los servicios profesionales en las actividades propias de levantamiento, especificaciónde requerimientos, pruebas y capacitación para el desarrollo de los sistemas de información de Migración Colombia</t>
  </si>
  <si>
    <t>CO-026-2023</t>
  </si>
  <si>
    <t>20236001413000002E</t>
  </si>
  <si>
    <t>secretaria general</t>
  </si>
  <si>
    <t>PRESTAR LOS SERVICIOS PROFESIONALES ESPECIALIZADOS CON AUTONOMÍA TÉCNICA Y ADMINISTRATIVA PARA EL APOYO Y ACOMPAÑAMIENTO A LA SECRETARIA GENERAL EN TEMAS RELACIONADOS CON LAS COMUNICACIONES DE LA UNIDAD ADMINISTRATIVA ESPECIAL MIGRACIÓN COLOMBIA</t>
  </si>
  <si>
    <t>CO-025-2023</t>
  </si>
  <si>
    <t>HÉCTOR PINILLA</t>
  </si>
  <si>
    <t>PCD-022-2023-3TEC</t>
  </si>
  <si>
    <t>PCD-033-2023-6TEC</t>
  </si>
  <si>
    <t>PCD-034-2023-4TEC</t>
  </si>
  <si>
    <t>PCD-035-2023-5TEC</t>
  </si>
  <si>
    <t>PCD-036-2023-7TEC</t>
  </si>
  <si>
    <t>PCD-007-2023-7J</t>
  </si>
  <si>
    <t>PCD-045-2023-1COM</t>
  </si>
  <si>
    <t>PCD-041-2023-5COM</t>
  </si>
  <si>
    <t>PCD-043-2023-12TH</t>
  </si>
  <si>
    <t>PCD-055-2023-4J</t>
  </si>
  <si>
    <t>PCD-021-2023-2TEC</t>
  </si>
  <si>
    <t>PCD-012-2023-1SG</t>
  </si>
  <si>
    <t>20236221413000002E</t>
  </si>
  <si>
    <t>Prestación de servicios Profesionales</t>
  </si>
  <si>
    <t>Grupo de Archivo y Correspondencia</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</si>
  <si>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</si>
  <si>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Serv icios de Apoyo Gerencial.</t>
  </si>
  <si>
    <t>C-1199-1002-8-0-1199018-02</t>
  </si>
  <si>
    <t xml:space="preserve">Nivel Central </t>
  </si>
  <si>
    <t>FREDDY STEVE CAMARGO BARRETO</t>
  </si>
  <si>
    <t>SI</t>
  </si>
  <si>
    <t>PEREZ ARISMENDI ANDREA</t>
  </si>
  <si>
    <t>20236221413000001E</t>
  </si>
  <si>
    <t>Prestación de serv icios profesionales con autonomía técnica y administrativ a en el proceso de gestión documental dando cumplimiento a lo establecido por el archivo general de la nación y las necesidades de la uaemc.</t>
  </si>
  <si>
    <t>MARIA FERNANDA AGUIRRE GARZÓN</t>
  </si>
  <si>
    <t>20236211413000003E</t>
  </si>
  <si>
    <t>Sub. Adm y financiera - Grupo Administrativo</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</si>
  <si>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</si>
  <si>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</si>
  <si>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SANDRA MILENA MORENO ACEVEDO</t>
  </si>
  <si>
    <t>20236211413000004E</t>
  </si>
  <si>
    <t>Prestar los servicios profesionales con autonomía técnica y administrativa dentro del grupo de gestión administrativa, en lo relacionado con la etapa precontractual, así como la evaluación de procesos de infraestructura</t>
  </si>
  <si>
    <t>C-1103-1002-2-0-1103002-02</t>
  </si>
  <si>
    <t>HERNANDO ERNESTO GONZÁLEZ ATUESTA</t>
  </si>
  <si>
    <t>CAMARGO SEGURA ELIANA CRISTINA</t>
  </si>
  <si>
    <t>20233001413000001E</t>
  </si>
  <si>
    <t>Subdirección de Control Migratorio</t>
  </si>
  <si>
    <t>PRESTAR LOS SERVICIOS PROFESIONALES CON AUTONOMÍA TÉCNICA Y ADMINISTRATIVA PARA APOYAR LA GESTIÓN DE LA SUBDIRECCIÓN DE CONTROL MIGRATORIO DE ACUERDO CON LAS CONDICIONES SEÑALADAS Y ESPECIFICACIONES TÉCNICAS DESCRITAS EN LOS ESTUDIOS PREVIOS</t>
  </si>
  <si>
    <t>Servicios de Oficina</t>
  </si>
  <si>
    <t xml:space="preserve">A-02-02-02-008-003 </t>
  </si>
  <si>
    <t>JOSÉ LEONARDO BECERRA APÍSCOPE</t>
  </si>
  <si>
    <t>USECHE OVALLES CARLOS EDUARDO</t>
  </si>
  <si>
    <t>20233001413000003E</t>
  </si>
  <si>
    <t>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t>
  </si>
  <si>
    <t>DANIEL RODRÍGUEZ RAMÍREZ</t>
  </si>
  <si>
    <t>HERNANDEZ ARANGO MARTHA</t>
  </si>
  <si>
    <t>20236221413000003E</t>
  </si>
  <si>
    <t>Grupo de Archivo y Correspondencia - Tecnología</t>
  </si>
  <si>
    <t>Apoy ar a Migración Colombia en el desarrollo de nuevas funcionalidades y el mantenimiento, optimización e integración del sistema de gestión documental Orfeo.</t>
  </si>
  <si>
    <t>Serv icios de program ación de aplicacio nes</t>
  </si>
  <si>
    <t>FABIAN MAURICIO LOSADA FLÓREZ</t>
  </si>
  <si>
    <t> OJEDA MONCAYO DIEGO EMILIO</t>
  </si>
  <si>
    <t>20236231415000001E</t>
  </si>
  <si>
    <t>Exclusividad</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</si>
  <si>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</si>
  <si>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</si>
  <si>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20234021413000001E</t>
  </si>
  <si>
    <t>Subdirección de Extranjeria</t>
  </si>
  <si>
    <t>PRESTAR LOS SERVICIOS PROFESIONALES EN LA SUBDIRECCIÓN DE EXTRANJERÍA CON AUTONOMÍA TÉCNICA Y ADMINISTRATIVA, DE ACUERDO CON LAS CONDICIONES SEÑALADAS Y ESPECIFICACIONES TÉCNICAS DESCRITAS EN LOS ESTUDIOS PREVIOS</t>
  </si>
  <si>
    <t>Serv icios de Personal temporal</t>
  </si>
  <si>
    <t>OSCAR FERNANDO FAJARDO</t>
  </si>
  <si>
    <t>BAUTISTA MARTINEZ MARGARITA MARIA</t>
  </si>
  <si>
    <t>20236231414000001E</t>
  </si>
  <si>
    <t>Subdirección Administrativa y Financiera - Grupo Administrativo</t>
  </si>
  <si>
    <t>Contratar el arrendamiento de cupos de parqueadero para el parque automotor del Centro Facilitador de Serv icios Migratorios en la Ciudad de Riohacha</t>
  </si>
  <si>
    <t>Arrendamien to de Instalaciones comerciales o Industriales</t>
  </si>
  <si>
    <t xml:space="preserve"> A-02-02-02-007-002</t>
  </si>
  <si>
    <t>Cesar Augusto Mejia Carrillo</t>
  </si>
  <si>
    <t xml:space="preserve">Diana Esperanza Durán Garcia </t>
  </si>
  <si>
    <t>20232121413000004E</t>
  </si>
  <si>
    <t>PCD-005-2023-6P</t>
  </si>
  <si>
    <t>PRESTACIÓN DE SERVICIOS PROFESIONALES CON AUTONOMÍA TÉCNICA Y ADMINISTRATIVA EN LA OFICINA ASESORA DE PLANEACIÓN PARA LA  INVESTIGACIÓN DE LAS CAUSAS Y CONSECUENCIAS SOBRE LOS FENÓMENOS Y DINÁMICA MIGRATORIA.</t>
  </si>
  <si>
    <t>C-1199-1002-11-0-1199054-02</t>
  </si>
  <si>
    <t>CO-010-2023</t>
  </si>
  <si>
    <t>20232121410000002E</t>
  </si>
  <si>
    <t>PCD-006-2023-3P</t>
  </si>
  <si>
    <t>PRESTACIÓN DE SERVICIOS PROFESIONALES CON AUTONOMÍA TÉCNICA Y ADMINISTRATIVA A LA OFICINA ASESORA DE PLANEACIÓN, PARA LA IMPLEMENTACIÓN DE LA POLÍTICA DE GESTIÓN DE LA INFORMACIÓN ESTADÍSTICA DE LA ENTIDAD.</t>
  </si>
  <si>
    <t>CO-012-2023</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</si>
  <si>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</si>
  <si>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</si>
  <si>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</si>
  <si>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</si>
  <si>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</si>
  <si>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20232241413000003E</t>
  </si>
  <si>
    <t>PCD-028-2023-3J</t>
  </si>
  <si>
    <t>CO-019-2023</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</si>
  <si>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</si>
  <si>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</si>
  <si>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</si>
  <si>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80161504</t>
  </si>
  <si>
    <t>CO-014-2023</t>
  </si>
  <si>
    <t>MARÍA PAULA AVILA GONZALEZ</t>
  </si>
  <si>
    <t>20232241413000001E</t>
  </si>
  <si>
    <t>PCD-030-2023-2J</t>
  </si>
  <si>
    <t>Oficina Asesora Juridica</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</si>
  <si>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</si>
  <si>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</si>
  <si>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CO-020-2023</t>
  </si>
  <si>
    <t>MYRIAM BUITRAGO ESPITIA</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</si>
  <si>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</si>
  <si>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</si>
  <si>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</si>
  <si>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</si>
  <si>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</si>
  <si>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</si>
  <si>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</si>
  <si>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</si>
  <si>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</si>
  <si>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</si>
  <si>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</si>
  <si>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</si>
  <si>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</si>
  <si>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</si>
  <si>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</si>
  <si>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</si>
  <si>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20232121413000010E</t>
  </si>
  <si>
    <t>PCD-049-2023-9P</t>
  </si>
  <si>
    <t>PRESTACIÓN DE SERVICIOS PROFESIONALES CON AUTONOMÍA TÉCNICA Y ADMINISTRATIVA EN LA OFICINA ASESORA DE PLANEACIÓN, PARA LA ADMINISTRACIÓN, GESTIONAMIENTO, PROCESAMIENTO Y ORGANIZACIÓN DE DATOS PARA EL GEME.</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</si>
  <si>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</si>
  <si>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</si>
  <si>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</si>
  <si>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</si>
  <si>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</si>
  <si>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</si>
  <si>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20236311413000002E</t>
  </si>
  <si>
    <t>PRESTACIÖN DE SERVICIOS DE APOYO A LA GESTIÓN DE LA SUBDIRECCIÓN DE CONTROL DISCIPLINARIO INTERNO, EN LAS LABORES SECRETARIALES, DE ACUERDO CON LAS CONDICIONES SEÑALADAS Y ESPECIFICACIONES TÉCNICAS DESCRITAS EN LOS ESTUDIOS PREVIOS.</t>
  </si>
  <si>
    <t>20236231416000001E</t>
  </si>
  <si>
    <t>PCD-057-2023-6J</t>
  </si>
  <si>
    <t>CONTRATAR LA PUBLICACIÓN EN EL DIARIO OFICIAL DE LOS ACTOS ADMINISTRATIVOS QUE DEMANDE LA UAEMC</t>
  </si>
  <si>
    <t>82121506</t>
  </si>
  <si>
    <t>PCD-058-2023-6D</t>
  </si>
  <si>
    <t>CONTROL INTERNO DISCIPLINARIO</t>
  </si>
  <si>
    <t>Belisa Amparo Oviedo Diaz</t>
  </si>
  <si>
    <t>O341</t>
  </si>
  <si>
    <t>MES2</t>
  </si>
  <si>
    <t>FECHA DE TERMINACION DEL CONTRATO3</t>
  </si>
  <si>
    <t xml:space="preserve">Cuenta de CONSECUTIVO PAABS EXCEL Y ESTUDIOS PREVIOS </t>
  </si>
  <si>
    <t>Etiquetas de fila</t>
  </si>
  <si>
    <t>Total general</t>
  </si>
  <si>
    <t>Etiquetas de columna</t>
  </si>
  <si>
    <t>(Todas)</t>
  </si>
  <si>
    <t>PROFESIONAL ENCARGADO</t>
  </si>
  <si>
    <t>WILLIAM ANDRES TELLEZ CHAVEZ</t>
  </si>
  <si>
    <t>SERGIO ALEJANDRO ROMERO SARMIENTO</t>
  </si>
  <si>
    <t>SONIA YANETH AREVALO BONILLA</t>
  </si>
  <si>
    <t>JAVIER ENRIQUE GONZÁLEZ GONZÁLEZ</t>
  </si>
  <si>
    <t>NESTOR DAVID MEDINA HERRERA</t>
  </si>
  <si>
    <t>JOAQUÍN ANTONIO RODRÍGUEZ VILLEGAS</t>
  </si>
  <si>
    <t>JORGE ALBERTO TIBADUIZA RINCON</t>
  </si>
  <si>
    <t>VERONICA BEATRIZ BORGES CELIN</t>
  </si>
  <si>
    <t>JAIME FERNANDO CANTILLO MONROY</t>
  </si>
  <si>
    <t>ADRIAN AUGUSTO FERNANDEZ ANZOLA</t>
  </si>
  <si>
    <t>RODRIGO ANDRES GARCIA</t>
  </si>
  <si>
    <t>MÓNICA VICTORIA MANCERA CARRERO</t>
  </si>
  <si>
    <t>DEISSY YOHANA NEITA NUVAN</t>
  </si>
  <si>
    <t>MARÍA EUGENIA RESTREPO LONDOÑO</t>
  </si>
  <si>
    <t>ANDRES ALEJANDRO ORJUELA TRUJILLO</t>
  </si>
  <si>
    <t>DEICY YOHANA PARADA PARDO</t>
  </si>
  <si>
    <t>ADRIANA CAROLINA MAESTRE SOLANO</t>
  </si>
  <si>
    <t xml:space="preserve">ADRIANA MARCELA ROSAS SUAREZ </t>
  </si>
  <si>
    <t>MARITZA ROCÍO SERRANO VILLAMIL</t>
  </si>
  <si>
    <t>ROSA MARÍA MARTÍNEZ GONZÁLEZ</t>
  </si>
  <si>
    <t>OSCAR ANDRES VALDERRAMA CANO</t>
  </si>
  <si>
    <t>CO-003-2023</t>
  </si>
  <si>
    <t>CO-004-2023</t>
  </si>
  <si>
    <t>CO-015-2023</t>
  </si>
  <si>
    <t>CO-017-2023</t>
  </si>
  <si>
    <t>CO-030-2023</t>
  </si>
  <si>
    <t>CO-037-2023</t>
  </si>
  <si>
    <t>CO-047-2023</t>
  </si>
  <si>
    <t>CO-054-2023</t>
  </si>
  <si>
    <t xml:space="preserve">En tramite </t>
  </si>
  <si>
    <t>EDAD</t>
  </si>
  <si>
    <t>FECHA DE NACIMIENTO</t>
  </si>
  <si>
    <t>MYPIME</t>
  </si>
  <si>
    <t>ADICION 3</t>
  </si>
  <si>
    <t>FECHA FIRMA</t>
  </si>
  <si>
    <t>FECHA FIRMA DEL DOCUMENTO2</t>
  </si>
  <si>
    <t>FECHA DE TERMINACION DEL CONTRATO2</t>
  </si>
  <si>
    <t>FECHA FIRMA DEL DOCUMENTOS</t>
  </si>
  <si>
    <t>ENTIDAD</t>
  </si>
  <si>
    <t>NIT</t>
  </si>
  <si>
    <t>UNIDAD ADMINISTRATIVA ESPECIAL MIGRACIÓN COLOMBIA</t>
  </si>
  <si>
    <t>900477235-6</t>
  </si>
  <si>
    <t>CLASIFICACION</t>
  </si>
  <si>
    <t xml:space="preserve">
LUGAR DE EJECUCION
</t>
  </si>
  <si>
    <t>TIPO DE ORGANIZACIÓN</t>
  </si>
  <si>
    <t>Macro</t>
  </si>
  <si>
    <t>Pequeña</t>
  </si>
  <si>
    <t xml:space="preserve">Mediana </t>
  </si>
  <si>
    <t>No es mypime</t>
  </si>
  <si>
    <t>Tipo de Organización</t>
  </si>
  <si>
    <t>Campesinas</t>
  </si>
  <si>
    <t>Clasificación</t>
  </si>
  <si>
    <t>Victimas de conflicto</t>
  </si>
  <si>
    <t>Emprendimiento y empresas de mujeres</t>
  </si>
  <si>
    <t>Étnicas</t>
  </si>
  <si>
    <t>Reincorporados</t>
  </si>
  <si>
    <t>Acción comunal</t>
  </si>
  <si>
    <t>Mypime</t>
  </si>
  <si>
    <t>Si</t>
  </si>
  <si>
    <t>No</t>
  </si>
  <si>
    <t>Plataforma</t>
  </si>
  <si>
    <t>Secop I</t>
  </si>
  <si>
    <t>TVEC</t>
  </si>
  <si>
    <t>Profesional Encargado</t>
  </si>
  <si>
    <t>Prestacion de servicios apoyo a la gestion</t>
  </si>
  <si>
    <t>Area de la Necesidad</t>
  </si>
  <si>
    <t>PCD-042-2023-4D</t>
  </si>
  <si>
    <t>PROFESIÓN</t>
  </si>
  <si>
    <t>20236231415000002E</t>
  </si>
  <si>
    <t>PCD-079-2023-30TEC</t>
  </si>
  <si>
    <t xml:space="preserve">Componentes y Equipos para Distribución y Sistemas de Acondicionamiento </t>
  </si>
  <si>
    <t>20236231408000001E</t>
  </si>
  <si>
    <t>SIE-001-2023</t>
  </si>
  <si>
    <t>Selección Abreviada</t>
  </si>
  <si>
    <t>Subasta Inversa Electrónica</t>
  </si>
  <si>
    <t>CONTRATAR EL SERVICIO DE SOPORTE ESPECIALIZADO EN BASES DE DATOS, SISTEMAS OPERATIVOS E INFRAESTRUCTURA TECNOLÓGICA DE LA PLATAFORMA MISIONAL DE MIGRACIÓN COLOMBIA.</t>
  </si>
  <si>
    <t>Difusión de tecnologías de información y telecomunicaciones</t>
  </si>
  <si>
    <t>20236231408000006E</t>
  </si>
  <si>
    <t>SIE-002-2023</t>
  </si>
  <si>
    <t>Contratar la prestación del servicio de mantenimiento preventivo y correctivo de aires acondicionados a nivel nacional</t>
  </si>
  <si>
    <t>Componentes y equipos para distribución y sistemas de acondicionamiento</t>
  </si>
  <si>
    <t>A-02-02-02-008-007</t>
  </si>
  <si>
    <t>20236231412000001E</t>
  </si>
  <si>
    <t>LP-001-2023</t>
  </si>
  <si>
    <t>Licitación Pública</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</si>
  <si>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</si>
  <si>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Servicios Financieros y de Seguros</t>
  </si>
  <si>
    <t>19023    - VF 1323</t>
  </si>
  <si>
    <t>A-02-02-02-007-001</t>
  </si>
  <si>
    <t>Acuerdo Marco de Precios</t>
  </si>
  <si>
    <t>Suscripción y horas de servicio de productos GOOGLE para la entidad.</t>
  </si>
  <si>
    <t>20232261415000001E</t>
  </si>
  <si>
    <t>PCD-074-2023-9J</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</si>
  <si>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</si>
  <si>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55111515;82121802</t>
  </si>
  <si>
    <t>Audio cinta de material educacional - Servicios de publicaciones financiadas por el autor</t>
  </si>
  <si>
    <t>A-02-02-02-008-004</t>
  </si>
  <si>
    <t>En trámite</t>
  </si>
  <si>
    <t>N/A</t>
  </si>
  <si>
    <t>20236231415000007E</t>
  </si>
  <si>
    <t>PCD-081-2023-9COM</t>
  </si>
  <si>
    <t>CONTRATAR LA PUBLICACIÓN DE DIFERENTES AVISOS DE PRENSA EN EL PERIÓDICO LA REPÚBLICA, DE ACUERDO A LAS NECESIDADES REQUERIDAS POR LA ENTIDAD.</t>
  </si>
  <si>
    <t>Impresión de publicaciones</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</si>
  <si>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</si>
  <si>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</si>
  <si>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</si>
  <si>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</si>
  <si>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</si>
  <si>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</si>
  <si>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</si>
  <si>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</si>
  <si>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</si>
  <si>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</si>
  <si>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20236231407000001E</t>
  </si>
  <si>
    <t>MC-005-2023-29TEC</t>
  </si>
  <si>
    <t>Mínima cuantía</t>
  </si>
  <si>
    <t xml:space="preserve">SERVICIO DE MANTENIMIENTO PREVENTIVO Y CORRECTIVO CON SUMINISTRO DE REPUESTOS Y BATERÍAS, DE LAS UPS MARCAS POWERSUN, TRIPP LITE Y SAT. </t>
  </si>
  <si>
    <t>Mantenimiento o soporte de equipo de telecomunicaciones</t>
  </si>
  <si>
    <t>20236231407000002E</t>
  </si>
  <si>
    <t>MC-004-2023-80SYF</t>
  </si>
  <si>
    <t>SERVICIO DE LIMPIEZA, MANTENIMIENTO Y VACIADO DE POZOS Y TANQUES DE ALMACENAMIENTO DE AGUAS RESIDUALES A NIVEL NACIONAL</t>
  </si>
  <si>
    <t>Bombas de agua</t>
  </si>
  <si>
    <t>20236231420000001E</t>
  </si>
  <si>
    <t>MC-002-2023-81SYF</t>
  </si>
  <si>
    <t>CONTRATAR LA PRESTACIÓN DEL SERVICIO DE LAVADO DEL PARQUE AUTOMOTOR DE MIGRACIÓN COLOMBIA EN LA CIUDAD DE BOGOTÁ D.C.</t>
  </si>
  <si>
    <t>Limpieza de carros o barcos</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</si>
  <si>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</si>
  <si>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</si>
  <si>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</si>
  <si>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</si>
  <si>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</si>
  <si>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</si>
  <si>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NO</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</si>
  <si>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</si>
  <si>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</si>
  <si>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</si>
  <si>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CO-059-2023</t>
  </si>
  <si>
    <t>EDUARDO ALFONSO ARANGUREN</t>
  </si>
  <si>
    <t>ARQUITECTURA</t>
  </si>
  <si>
    <t>JESUS ANDRES PORRAS GARCIA</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</si>
  <si>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</si>
  <si>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</si>
  <si>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</si>
  <si>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</si>
  <si>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</si>
  <si>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</si>
  <si>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20236231415000010E</t>
  </si>
  <si>
    <t>PCD-086-202-54TEC</t>
  </si>
  <si>
    <t>CONTRATAR LA EXTENSIÓN DE GARANTÍA INCLUIDO MANTENIMIENTOS PREVENTIVOS Y CORRECTIVOS CON REPUESTOS, PARA LA SOLUCIÓN DE PASILLOS MIGRATORIOS BIOMIG.</t>
  </si>
  <si>
    <t>Puertas automáticas</t>
  </si>
  <si>
    <t>20236231407000005E</t>
  </si>
  <si>
    <t>MC-001-2023-8CM</t>
  </si>
  <si>
    <t xml:space="preserve">SERVICIO DE MANTENIMIENTO PREVENTIVO Y CORRECTIVO PARA LOS EQUIPOS DE GRAFOLOGÍA ESTÉREO MICROSCOPIOS A NIVEL NACIONAL, CON BOLSA DE REPUESTOS                                                                                                                              </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</si>
  <si>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</si>
  <si>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</si>
  <si>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20236231413000002E</t>
  </si>
  <si>
    <t>PCD-080-2023-2E</t>
  </si>
  <si>
    <t>CONTRATAR LA PRESTACIÓN DE SERVICIOS PROFESIONALES ESPECIALIZADOS PARA LA VALIDACIÓN O AUTENTICACIÓN DE IDENTIDAD, RELACIONADA CON USUARIOS QUE REQUIEREN CERTIFICADOS DE MOVIMIENTOS MIGRATORIOS.</t>
  </si>
  <si>
    <t>43232300;81111800;81112000;81112200</t>
  </si>
  <si>
    <t>Software de consultas y gestión de datos - Servicios de sistemas y administración de componentes de sistemas - Servicios de datos - Mantenimiento y soporte de software</t>
  </si>
  <si>
    <t>20234021413000003E</t>
  </si>
  <si>
    <t>PCD-064-2023-5E</t>
  </si>
  <si>
    <t>43232300;81111800;81112000;81112200;</t>
  </si>
  <si>
    <t>CO-067-2023</t>
  </si>
  <si>
    <t>LEONOR PATRICIA JIMENEZ SANTANA</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</si>
  <si>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</si>
  <si>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</si>
  <si>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</si>
  <si>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</si>
  <si>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</si>
  <si>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</si>
  <si>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</si>
  <si>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BACHILLER ACADÉMICO</t>
  </si>
  <si>
    <t>20236231408000003E</t>
  </si>
  <si>
    <t>SAMC-001-2023-SYF</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</si>
  <si>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</si>
  <si>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</si>
  <si>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</si>
  <si>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C-1103-1002-2-0-1103001-02</t>
  </si>
  <si>
    <t>20236231415000011E</t>
  </si>
  <si>
    <t>PCD-089-2023</t>
  </si>
  <si>
    <t>Servicios de mantenimiento y reparación de equipo de manufactura</t>
  </si>
  <si>
    <t>20232501410000001E</t>
  </si>
  <si>
    <t>COMUNICACIÓN SOCIAL</t>
  </si>
  <si>
    <t>ECONOMIA</t>
  </si>
  <si>
    <t>INGENIERIA INDUSTRIAL</t>
  </si>
  <si>
    <t>DERECHO</t>
  </si>
  <si>
    <t>CONTADURIA PÚBLICA</t>
  </si>
  <si>
    <t>ESTADISTICA</t>
  </si>
  <si>
    <t>20236231416000003E</t>
  </si>
  <si>
    <t>PCD-068-2023-15TH</t>
  </si>
  <si>
    <t xml:space="preserve">SUBDIRECCION  TALENTO HUMANO </t>
  </si>
  <si>
    <t>CONTRATAR LA PRESTACIÓN DEL SERVICIO DE ALOJAMIENTO, ALIMENTACIÓN Y APOYO LOGÍSTICO PARA ACTIVIDADES DE CAPACITACIÓN A NIVEL NACIONAL</t>
  </si>
  <si>
    <t>80131504</t>
  </si>
  <si>
    <t>Servicio de alojamiento temporal offshore</t>
  </si>
  <si>
    <t>CO-083-2023</t>
  </si>
  <si>
    <t>INTERADMINISTRATIVO</t>
  </si>
  <si>
    <t>SOCIEDAD HOTELERA TEQUENDAMA S.A.</t>
  </si>
  <si>
    <t> 860006543</t>
  </si>
  <si>
    <t xml:space="preserve">ROSA MARIA MARTINEZ </t>
  </si>
  <si>
    <t>20236301413000001E</t>
  </si>
  <si>
    <t>PCD-071-2023-5D</t>
  </si>
  <si>
    <t>SUBDIRECCIÃN DE CONTROL DISCIPLINARIO INTERNO</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</si>
  <si>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</si>
  <si>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 Necesidades de dotación de personal jurídico temporal</t>
  </si>
  <si>
    <t>CO-065-2023</t>
  </si>
  <si>
    <t>YULENY FERNANDA FARFÁN LÓPEZ</t>
  </si>
  <si>
    <t>Derecho</t>
  </si>
  <si>
    <t xml:space="preserve">MARTHA EUGENIA RAMOS </t>
  </si>
  <si>
    <t>20232121413000011E</t>
  </si>
  <si>
    <t>PCD-083-2023-4D</t>
  </si>
  <si>
    <t>PRESTACIÓN DE SERVICIOS PROFESIONALES CON AUTONOMÍA TÉCNICA Y ADMINISTRATIVA A LA OFICINA ASESORA DE PLANEACIÓN EN ASUNTOS DE EXTRACCIÓN Y CONSOLIDACIÓN DE INFORMACIÓN CUANTITATIVA Y CUALITATIVA.</t>
  </si>
  <si>
    <t> Servicios de apoyo gerencial</t>
  </si>
  <si>
    <t>MARZO</t>
  </si>
  <si>
    <t>BENKOS TRIANA OCAMPO</t>
  </si>
  <si>
    <t xml:space="preserve">ECONOMISTA </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</si>
  <si>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</si>
  <si>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</si>
  <si>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</si>
  <si>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</si>
  <si>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</si>
  <si>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</si>
  <si>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</si>
  <si>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 xml:space="preserve">Sergio Andres Blanco </t>
  </si>
  <si>
    <t>20236231407000008E</t>
  </si>
  <si>
    <t>MC-003-2023</t>
  </si>
  <si>
    <t>CONTRATAR EL SERVICIO INTEGRAL DE ASEO Y CAFETERIA REGION 9: SEDE 1: CFSM CÚCUTA, SEDE 2: CFSM BUCARAMANGA, SEDE 3: CENAF TIENDITAS, SEDE 4: CENAF VILLA DEL ROSARIO.</t>
  </si>
  <si>
    <t>76111501 - 90101700</t>
  </si>
  <si>
    <t>Servicios de limpieza de edificios</t>
  </si>
  <si>
    <t>A-02-02-02-006-003 -A-02-02-02-008-005</t>
  </si>
  <si>
    <t>900477235-7</t>
  </si>
  <si>
    <t>20236231410000001E</t>
  </si>
  <si>
    <t>minima cuantia-grandes superficies</t>
  </si>
  <si>
    <t>subdireccion de talento humano</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</si>
  <si>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</si>
  <si>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</si>
  <si>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</si>
  <si>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</si>
  <si>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OC-105105</t>
  </si>
  <si>
    <t>minima cuantia grandes superficies</t>
  </si>
  <si>
    <t>CENCOSUD COLOMBIA S.A.</t>
  </si>
  <si>
    <t>Rubi Villarraga</t>
  </si>
  <si>
    <t>900477235-8</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</si>
  <si>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</si>
  <si>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</si>
  <si>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</si>
  <si>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</si>
  <si>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</si>
  <si>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</si>
  <si>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</si>
  <si>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900477235-9</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</si>
  <si>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</si>
  <si>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</si>
  <si>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</si>
  <si>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</si>
  <si>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</si>
  <si>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CO-068-2023</t>
  </si>
  <si>
    <t>DARÍO ORLANDO BECERRA ERAZO</t>
  </si>
  <si>
    <t>3 CUMPLIMIENTO</t>
  </si>
  <si>
    <t>900477235-10</t>
  </si>
  <si>
    <t>20232501413000018E</t>
  </si>
  <si>
    <t>PCD-066-2023-24TEC</t>
  </si>
  <si>
    <t>Contratar la prestación de servicios profesionales para realizar actividades en mantenimiento, réplicas en bases de datos y apoyo al desarrollo de software de Migración Colombia</t>
  </si>
  <si>
    <t>811115-811116-811122</t>
  </si>
  <si>
    <t>Servicios Basados en Ingeniería, Investigación Y Tecnología ,Servicios informaticos Ingeniería de software o hardware -Programadores de computador - Mantenimiento y soporte de software</t>
  </si>
  <si>
    <t>CO-061-2023</t>
  </si>
  <si>
    <t>CRISTIAN ANDREY SALINAS FORERO</t>
  </si>
  <si>
    <t>4 CUMPLIMIENTO</t>
  </si>
  <si>
    <t>900477235-11</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</si>
  <si>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</si>
  <si>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</si>
  <si>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</si>
  <si>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</si>
  <si>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</si>
  <si>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</si>
  <si>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</si>
  <si>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5 CUMPLIMIENTO</t>
  </si>
  <si>
    <t>900477235-12</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</si>
  <si>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</si>
  <si>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</si>
  <si>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</si>
  <si>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</si>
  <si>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CO-060-2023</t>
  </si>
  <si>
    <t>GUSTAVO ADOLFO ECHANDÍA BAUTISTA</t>
  </si>
  <si>
    <t>6 CUMPLIMIENTO</t>
  </si>
  <si>
    <t>900477235-13</t>
  </si>
  <si>
    <t>20232501413000023E</t>
  </si>
  <si>
    <t>PCD-078-2023-25TEC</t>
  </si>
  <si>
    <t>CONTRATAR LA PRESTACIÓN DE LOS SERVICIOS PROFESIONALES PARA APOYAR LA GESTIÓN DE LA OFICINA DE TECNOLOGÍA DE LA INFORMACIÓN DE MIGRACIÓN COLOMBIA, EN LAS ACTIVIDADES PROPIAS DEL DESARROLLO DE APLICACIONES EN LENGUAJE .NET</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</si>
  <si>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</si>
  <si>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</si>
  <si>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</si>
  <si>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</si>
  <si>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7 CUMPLIMIENTO</t>
  </si>
  <si>
    <t>900477235-14</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</si>
  <si>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</si>
  <si>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</si>
  <si>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</si>
  <si>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</si>
  <si>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</si>
  <si>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</si>
  <si>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8 CUMPLIMIENTO</t>
  </si>
  <si>
    <t>900477235-15</t>
  </si>
  <si>
    <t>20232501413000020E</t>
  </si>
  <si>
    <t>PCD-077-2023-23TEC</t>
  </si>
  <si>
    <t>CONTRATAR LA PRESTACIÓN DE SERVICIOS PROFESIONALES PARA REALIZAR LA ADMINISTRACIÓN DE BASES DE DATOS DE MIGRACIÓN COLOMBIA</t>
  </si>
  <si>
    <t>CO-069-2023</t>
  </si>
  <si>
    <t>LUIS ALEXANDER JIMENEZ ALVARADO</t>
  </si>
  <si>
    <t>9 CUMPLIMIENTO</t>
  </si>
  <si>
    <t>20236231408000008E</t>
  </si>
  <si>
    <t>SAMC-002-2023</t>
  </si>
  <si>
    <t>Menor Cuantia</t>
  </si>
  <si>
    <t>80161500;801015;80121704;80101605;93141509;93141510</t>
  </si>
  <si>
    <t>Servicios de apoyo gerencial</t>
  </si>
  <si>
    <t>Sociología</t>
  </si>
  <si>
    <t>80161500;80121704;80101605;81112006;81112007;811315</t>
  </si>
  <si>
    <t>Matemático con énfasis en Estadística</t>
  </si>
  <si>
    <t>Trabajadora Social</t>
  </si>
  <si>
    <t> Ingeniería civil y arquitectura</t>
  </si>
  <si>
    <t>GOBIERNO Y RELACIONES INTERNACIONALES</t>
  </si>
  <si>
    <t>Servicios legales sobre contratos</t>
  </si>
  <si>
    <t>Relaciones Internacionales y Estudios Políticos</t>
  </si>
  <si>
    <t>CO-049-2023</t>
  </si>
  <si>
    <t>FEBRERO</t>
  </si>
  <si>
    <t>GLADYS GUTIERREZ UPEGUI</t>
  </si>
  <si>
    <t> 38249742</t>
  </si>
  <si>
    <t>Ingeniería de Sistemas</t>
  </si>
  <si>
    <t>80161500;80121704;80101605;81112006;81112007;81102702</t>
  </si>
  <si>
    <t>CO-057-2023</t>
  </si>
  <si>
    <t>MARIA LUISA ORTIZ</t>
  </si>
  <si>
    <t>CO-053-2023</t>
  </si>
  <si>
    <t>MARÍA FERNANDA OSPINA CARO</t>
  </si>
  <si>
    <t xml:space="preserve">PROFESIONAL EN RELACIONES INTERNACIONALES </t>
  </si>
  <si>
    <t>Vanessa Ortiz López</t>
  </si>
  <si>
    <t>CO-056-2023</t>
  </si>
  <si>
    <t>MARIA ALEJANDRA GRACIA MONTERO</t>
  </si>
  <si>
    <t xml:space="preserve">INGENIERA DE SISTEMAS </t>
  </si>
  <si>
    <t> Impresión de publicaciones</t>
  </si>
  <si>
    <t>CO-070-2023</t>
  </si>
  <si>
    <t>IMPRENTA NACIONAL DE COLOMBIA</t>
  </si>
  <si>
    <t>830.001.113</t>
  </si>
  <si>
    <t>CO-052-2023</t>
  </si>
  <si>
    <t xml:space="preserve">Prestación de Servicios de apoyo a la Gestion </t>
  </si>
  <si>
    <t>DIANA MARCELA RUBIO ACOSTA</t>
  </si>
  <si>
    <t>BACHILLER</t>
  </si>
  <si>
    <t xml:space="preserve">MARTHA EUGENIA RAMOS OSPINA </t>
  </si>
  <si>
    <t>BELISA AMPARO OVIEDO DIAZ</t>
  </si>
  <si>
    <t xml:space="preserve">SUBDIRECCION ADMINISTRATIVA Y FINANCIERA </t>
  </si>
  <si>
    <t>20236231408000004E</t>
  </si>
  <si>
    <t>SAMC-004-2023</t>
  </si>
  <si>
    <t>Marzo</t>
  </si>
  <si>
    <t>CONTRATAR EL SERVICIO DE MONITOREO DE MEDIOS MASIVOS DE COMUNICACION</t>
  </si>
  <si>
    <t>Servicios de boletines informativos de interés especial</t>
  </si>
  <si>
    <t>20236231415000013E</t>
  </si>
  <si>
    <t>PCD-112-2023-13COM</t>
  </si>
  <si>
    <t>CONTRATAR LA SUSCRIPCION A LA REVISTA SEMANA CON DESTINO A LA OFICINA DE COMUNICACIONES DE MIGRACION COLOMBIA</t>
  </si>
  <si>
    <t>Servicios de entrega de periódicos o material publicitario</t>
  </si>
  <si>
    <t>A-02-02-01-003-002</t>
  </si>
  <si>
    <t>20232401410000001E</t>
  </si>
  <si>
    <t>Contratar el servicio de Contact Center para cubrir los canales de comunicación y servicio a la ciudadanía, establecidos por Migración Colombia.</t>
  </si>
  <si>
    <t>Servicios de soporte técnico o de mesa de ayuda</t>
  </si>
  <si>
    <t>20236231408000005E</t>
  </si>
  <si>
    <t>SIE-003-2023</t>
  </si>
  <si>
    <t>Contratar la prestación del servicio de mantenimiento preventivo y correctivo con bolsa de repuestos para los componentes de los CCTV, de acuerdo con los requerimientos técnicos de la Unidad Administrativa Especial Migración Colombia.</t>
  </si>
  <si>
    <t>Software de administración de redes</t>
  </si>
  <si>
    <t>20236231408000023E</t>
  </si>
  <si>
    <t>SIE-010-2023</t>
  </si>
  <si>
    <t>Extensión de garantía para los servidores marca DEL</t>
  </si>
  <si>
    <t>Ingeniería de software o hardware</t>
  </si>
  <si>
    <t>SIE-005-2023</t>
  </si>
  <si>
    <t>20236231408000013E</t>
  </si>
  <si>
    <t>Contratar el suministro de materiales ferroeléctricos para atender los requerimientos que en material de mantenimiento locativo presente las sedes de Migración Colombia a nivel nacional.</t>
  </si>
  <si>
    <t>Material de Ferretería y accesorios</t>
  </si>
  <si>
    <t>A-02-02-01-001-005</t>
  </si>
  <si>
    <t>20236231407000003E</t>
  </si>
  <si>
    <t>SABP-001-2023</t>
  </si>
  <si>
    <t>Bolsa de Productos</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</si>
  <si>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</si>
  <si>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Servicio de Guardias</t>
  </si>
  <si>
    <t>19223 - VF 3423</t>
  </si>
  <si>
    <t>A-02-02-02-008-005</t>
  </si>
  <si>
    <t>LP-002-202</t>
  </si>
  <si>
    <t>20236231412000005E</t>
  </si>
  <si>
    <t>Adquisición y ampliación de pasillos automáticos Biomig para los Puestos de Control Migratorio a Nivel Nacional.</t>
  </si>
  <si>
    <t>Dispositivos de control de seguridad</t>
  </si>
  <si>
    <t>PCD-107-2023</t>
  </si>
  <si>
    <t>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t>
  </si>
  <si>
    <t>Servicios de Gestión, Servicios Profesionales de Empresa, y Servicios Administrativos</t>
  </si>
  <si>
    <t>CO-103-2023</t>
  </si>
  <si>
    <t>DAVID LEONARDO ROMERO GARZÓN</t>
  </si>
  <si>
    <t>20232401413000006E</t>
  </si>
  <si>
    <t>PCD-106-2023</t>
  </si>
  <si>
    <t>20236231415000003E</t>
  </si>
  <si>
    <t>CO-098-2023</t>
  </si>
  <si>
    <t>Contrato Compraventa</t>
  </si>
  <si>
    <t>DIGITAL WARE S.A.S</t>
  </si>
  <si>
    <t>OC105871</t>
  </si>
  <si>
    <t>Orden de Compra</t>
  </si>
  <si>
    <t>XERTICA COLOMBIA SAS</t>
  </si>
  <si>
    <t>20233001413000013E</t>
  </si>
  <si>
    <t>PCD-088-2023</t>
  </si>
  <si>
    <t>CONTRATAR LA PRESTACIÓN DE SERVICIOS DE APOYO A LA GESTIÓN, PARA LA ATENCIÓN AL CIUDADANO Y LAS DEMAS ACTIVIDADES MISIONALES Y ADMINISTRATIVAS INHERENTES A LA REGIONAL ORIENTE.</t>
  </si>
  <si>
    <t>CO-086-2023</t>
  </si>
  <si>
    <t>Regional Oriente</t>
  </si>
  <si>
    <t>Cúcuta</t>
  </si>
  <si>
    <t>VIANEY RIVERA BOTELLO</t>
  </si>
  <si>
    <t>TÉCNICO EN SECRETARIADO Y CONTABILIDAD SISTEMATIZADA</t>
  </si>
  <si>
    <t>RAFAEL DARIO EUGENIO PARADA</t>
  </si>
  <si>
    <t>20233001413000014E</t>
  </si>
  <si>
    <t>PCD-094-2023</t>
  </si>
  <si>
    <t>CO-087-2023</t>
  </si>
  <si>
    <t>JESUS DAVID FUENTES CRISTANCHO</t>
  </si>
  <si>
    <t>TÉCNICO EN SEGURIDAD OCUPACIONAL</t>
  </si>
  <si>
    <t>20233001413000015E</t>
  </si>
  <si>
    <t>PCD-085-2023</t>
  </si>
  <si>
    <t>CO-085-2023</t>
  </si>
  <si>
    <t>LEIDY LEONOR PEREZ ROLON</t>
  </si>
  <si>
    <t>TÉCNICO EN RECURSOS HUMANOS</t>
  </si>
  <si>
    <t>20236121415000001E</t>
  </si>
  <si>
    <t>PCD-105-2023</t>
  </si>
  <si>
    <t>Subdirección de Talento Humano</t>
  </si>
  <si>
    <t>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t>
  </si>
  <si>
    <t>80161504 - 80161500</t>
  </si>
  <si>
    <t>Servicios de oficina - Servicios de apoyo gerencial</t>
  </si>
  <si>
    <t>CO-096-2023</t>
  </si>
  <si>
    <t>AZUCENA PINZON RODRIGUEZ</t>
  </si>
  <si>
    <t>20236231408000010E</t>
  </si>
  <si>
    <t>SIE-006-2023-73SYF</t>
  </si>
  <si>
    <t>Subasta Inversa</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</si>
  <si>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</si>
  <si>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 xml:space="preserve">82121500;82121503;82121701;82121702;80161801 </t>
  </si>
  <si>
    <t>Impresión - Impresión digital - Servicios de copias en blanco y negro o de cotejo - Servicios de copias a color o de cotejo - Servicio de alquiler o leasing de fotocopiadoras</t>
  </si>
  <si>
    <t>A-02-02-02-008-009</t>
  </si>
  <si>
    <t>20236231408000009E</t>
  </si>
  <si>
    <t>SIE-007-2023-8SYF</t>
  </si>
  <si>
    <t>Suministro</t>
  </si>
  <si>
    <t>SUMINISTRO DE LLANTAS A NIVEL NACIONAL PARA EL PARQUE AUTOMOTOR DE LA UNIDAD ADMINISTRATIVA ESPECIAL MIGRACIÓN COLOMBIA</t>
  </si>
  <si>
    <t>25172504;25172512</t>
  </si>
  <si>
    <t>Llantas para automóviles o camionetas - Llanta de motocicleta</t>
  </si>
  <si>
    <t>A-02-02-01-003-006</t>
  </si>
  <si>
    <t>20236231408000024E</t>
  </si>
  <si>
    <t>SIE-009-2023-19TH</t>
  </si>
  <si>
    <t>Compraventa</t>
  </si>
  <si>
    <t xml:space="preserve">CONTRATAR LA ADQUISICIÓN DE SILLAS PARA LOS FUNCIONARIOS DE MIGRACIÓN COLOMBIA </t>
  </si>
  <si>
    <t>56101522;56112104</t>
  </si>
  <si>
    <t>Sillas de brazos - Sillas para ejecutivos</t>
  </si>
  <si>
    <t>A-02-01-01-003-008</t>
  </si>
  <si>
    <t>20236231407000007E</t>
  </si>
  <si>
    <t>SAMC-003-2023-SYF</t>
  </si>
  <si>
    <t>CONTRATAR A TODO COSTO, INCLUYENDO MATERIALES Y MANO DE OBRA, LA ADECUACIÓN DEL PCM SAN MIGUEL REGIONAL NARIÑO</t>
  </si>
  <si>
    <t>72101500;72102900;72121100;81101500</t>
  </si>
  <si>
    <t>Servicios de apoyo para la construcción - Servicios de mantenimiento y reparación de instalaciones - Servicios de construcción de edificios comerciales y de oficina - Ingeniería civil y arquitectura</t>
  </si>
  <si>
    <t>CO-105-2023</t>
  </si>
  <si>
    <t>Regional Andina</t>
  </si>
  <si>
    <t>EDALTEC S.A.S</t>
  </si>
  <si>
    <t>Sociedad por acciones simplificadas</t>
  </si>
  <si>
    <t>CUMPLIMIENTO, CALIDAD DEL SERVICIO, PROVISIÓN DE REPUESTOS</t>
  </si>
  <si>
    <t>ROBINSON VALENCIA GIRALDO</t>
  </si>
  <si>
    <t>CO-097-2023</t>
  </si>
  <si>
    <t>INCOMELEC S.A.S EN REORGANIZACIÓN</t>
  </si>
  <si>
    <t>NO HAN ENVIADO PÓLIZAS</t>
  </si>
  <si>
    <t>AO-005-2023</t>
  </si>
  <si>
    <t>CI GLOBAL SCIENTIFIC S.A.S</t>
  </si>
  <si>
    <t>CO-074-2023</t>
  </si>
  <si>
    <t>EXPERIAN COLOMBIA S.A.</t>
  </si>
  <si>
    <t>Sociedad Anónima</t>
  </si>
  <si>
    <t>HENRY ALBERTO PEREIRA VERA</t>
  </si>
  <si>
    <t>AO-004-2023</t>
  </si>
  <si>
    <t>CENTRO CAR 19 LTDA</t>
  </si>
  <si>
    <t>Sociedad de Responsabilidad Limitada</t>
  </si>
  <si>
    <t>CO-084-2023</t>
  </si>
  <si>
    <t>Suscripción</t>
  </si>
  <si>
    <t xml:space="preserve">AVANCE JURIDICO CASA EDITORIAL LTDA </t>
  </si>
  <si>
    <t>CO-104-2023</t>
  </si>
  <si>
    <t>EDITORIAL LA REPUBLICA SAS</t>
  </si>
  <si>
    <t>CO-075-2023</t>
  </si>
  <si>
    <t>CANNED HEAD SAS</t>
  </si>
  <si>
    <t>CO-081-2023</t>
  </si>
  <si>
    <t xml:space="preserve">THALES COLOMBIA S.A </t>
  </si>
  <si>
    <t>CUMPLIMIENTO, CALIDAD DEL SERVICIO, PAGO DE SALARIOS</t>
  </si>
  <si>
    <t>20233001413000006E</t>
  </si>
  <si>
    <t>PCD-095-2023-66TEC</t>
  </si>
  <si>
    <t>Prestación de Servicios de Apoyo a la Gestión</t>
  </si>
  <si>
    <t>Servicios Secretariales o de administración de Oficinas</t>
  </si>
  <si>
    <t xml:space="preserve">C-1199-1002-10-0-1199001-02 </t>
  </si>
  <si>
    <t>CO-092-2023</t>
  </si>
  <si>
    <t>Oriente</t>
  </si>
  <si>
    <t>Cúcuta - Norte de Santander</t>
  </si>
  <si>
    <t>MADELEYNE TORO SANCHEZ</t>
  </si>
  <si>
    <t>Tec. Analisis y Des. De Sistemas de Inf.</t>
  </si>
  <si>
    <t>EUGENIO PARADA RAFAEL DARIO</t>
  </si>
  <si>
    <t>20233001413000007E</t>
  </si>
  <si>
    <t>PCD-096-2023-67TEC</t>
  </si>
  <si>
    <t>CO-093-2023</t>
  </si>
  <si>
    <t>ALIRIO ARMANDO AREVALO MARTINEZ</t>
  </si>
  <si>
    <t>Tec. En Gestión Empresarial</t>
  </si>
  <si>
    <t>20233001413000008E</t>
  </si>
  <si>
    <t>PCD-097-2023-68TEC</t>
  </si>
  <si>
    <t>CO-094-2023</t>
  </si>
  <si>
    <t>YASMIN ROCIO ESCANDON CRISTANCHO</t>
  </si>
  <si>
    <t>Tec. En Gestión Adm.</t>
  </si>
  <si>
    <t>20233001413000009E</t>
  </si>
  <si>
    <t>PCD-098-2023-69TEC</t>
  </si>
  <si>
    <t>CO-095-2023</t>
  </si>
  <si>
    <t>SAMAEL NESIM TAVERA RUEDA</t>
  </si>
  <si>
    <t>SIE-004-2023</t>
  </si>
  <si>
    <t>Grupo de Bienestar Social y Salud Ocupacional</t>
  </si>
  <si>
    <t>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</si>
  <si>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Bonos emitidos por el sector privado</t>
  </si>
  <si>
    <t xml:space="preserve">A-02-02-01-002-008 </t>
  </si>
  <si>
    <t>Contrato de Suministro</t>
  </si>
  <si>
    <t>20236231414000003E</t>
  </si>
  <si>
    <t>PCD-104-2023-34SYF</t>
  </si>
  <si>
    <t xml:space="preserve">Contratar el arrendamiento de un bien inmueble ubicado en urbanización mistares del Municipio de Cumbal, corregimiento de Chiles - Nariño con destino al funcionamiento del PCMT Chiles - Tufiño de Migración Colombia.  </t>
  </si>
  <si>
    <t>Arrendamiento de Instalaciones comerciales o Industriales</t>
  </si>
  <si>
    <t xml:space="preserve">A-02-02-02-007-002 </t>
  </si>
  <si>
    <t>CO-099-2023</t>
  </si>
  <si>
    <t>Contrato de Arrendamiento</t>
  </si>
  <si>
    <t>Nariño</t>
  </si>
  <si>
    <t xml:space="preserve">Corregimiento de Chiles – Municipio de Cumbal </t>
  </si>
  <si>
    <t>PARMÉNIDES IBARRA CÓRDOBA</t>
  </si>
  <si>
    <t> FIGUEROA RAMIREZ ANA MERCEDES</t>
  </si>
  <si>
    <t>20236231416000004E</t>
  </si>
  <si>
    <t>PCD-108-2023-27SYF</t>
  </si>
  <si>
    <t>Interadministrativo – Prestación de Servicios</t>
  </si>
  <si>
    <t>Contratar la prestación de servicio de recolección, curso y entrega de correo en sus diferentes modalidades a nivel nacional e internacional y el suministro de personal para la gestión documental.</t>
  </si>
  <si>
    <t>Servicios postales de paqueteo y Courier.</t>
  </si>
  <si>
    <t xml:space="preserve">A-02-02-02-006-008 </t>
  </si>
  <si>
    <t>CO-107-2023</t>
  </si>
  <si>
    <t>Interadministrativo</t>
  </si>
  <si>
    <t>SERVICIOS POSTALES NACIONALES S.A.S</t>
  </si>
  <si>
    <t>Grande</t>
  </si>
  <si>
    <t>SERRANO BORNACELLY ILVIS PATRICIA</t>
  </si>
  <si>
    <t>20236211413000007E</t>
  </si>
  <si>
    <t>PCD-111-2023-90SYF</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</si>
  <si>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</si>
  <si>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77102001 - 77101501</t>
  </si>
  <si>
    <t>Servicios de certificación de cumplimiento de requisitos legales</t>
  </si>
  <si>
    <t xml:space="preserve">C-1103-1002-2-0-1103001-02 </t>
  </si>
  <si>
    <t>CO-106-2023</t>
  </si>
  <si>
    <t>MARTHA ISABEL CONRADO LÓPEZ</t>
  </si>
  <si>
    <t>Ing. Ambiental y Sanitaria</t>
  </si>
  <si>
    <t>PORRAS GARCIA JESUS ANDRES</t>
  </si>
  <si>
    <t>20236231408000016E</t>
  </si>
  <si>
    <t>SIE-008-2023</t>
  </si>
  <si>
    <t>Oficina Tecnología de la Información</t>
  </si>
  <si>
    <t>Adquirir equipos de conectividad y la extensión de garantía de Smar Net del fabricante para los equipos Cisco de acuerdo con las especificaciones técnicas requeridas por la Unidad Administrativa Especial Migración Colombia.</t>
  </si>
  <si>
    <t>72103300; 81111800; 32151900; 43221700; 43221800; 43222600</t>
  </si>
  <si>
    <t>Dispositivos de automatización de control de la conectividad</t>
  </si>
  <si>
    <t>20236231407000015E</t>
  </si>
  <si>
    <t>MC-009-2023</t>
  </si>
  <si>
    <t>Mínima Cuantía</t>
  </si>
  <si>
    <t>Contratar el suministro de combustible parque automotor y plantas eléctricas Regional Amazonas.</t>
  </si>
  <si>
    <t>15101505; 15101506</t>
  </si>
  <si>
    <t xml:space="preserve"> Combustible diésel - Gasolina corriente</t>
  </si>
  <si>
    <t xml:space="preserve">A-02-02-01-003-003 </t>
  </si>
  <si>
    <t>252 </t>
  </si>
  <si>
    <t>20236231416000005E</t>
  </si>
  <si>
    <t>PCD-113-2023-13TH</t>
  </si>
  <si>
    <t>Subdirección de Talento Humano – Grupo de Pasajes y Viáticos</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</si>
  <si>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</si>
  <si>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Agencias de Viajes</t>
  </si>
  <si>
    <t>A-02-02-02-006-004 - A-03-03-01-056</t>
  </si>
  <si>
    <t>PCD-011-2023-87SYF</t>
  </si>
  <si>
    <t>PCD-014-2023-86SYF</t>
  </si>
  <si>
    <t>PCD-023-2023-91SYF</t>
  </si>
  <si>
    <t>PCD-032-2023-89SYF</t>
  </si>
  <si>
    <t>PCD-039-2023-4CM</t>
  </si>
  <si>
    <t>PCD-040-2023-3CM</t>
  </si>
  <si>
    <t>PCD-044-2023-82SYF</t>
  </si>
  <si>
    <t>PCD-047-2023-7CM</t>
  </si>
  <si>
    <t>PCD-059-2023-4E</t>
  </si>
  <si>
    <t>PCD-060-2023-37SYF</t>
  </si>
  <si>
    <t>20233001413000004E</t>
  </si>
  <si>
    <t>PCD-093-2023-64TEC</t>
  </si>
  <si>
    <t>marzo</t>
  </si>
  <si>
    <t>Prestación de Servicios apoyo a la gestion</t>
  </si>
  <si>
    <t>CONTRATAR LA PRESTACIÓN DE SERVICIOS DE APOYO A LA GESTIÓN, PARA LA ATENCIÓN AL CIUDADANO Y LAS DEMAS ACTIVIDADES MISIONALES Y ADMINISTRATIVAS INHERENTES A LA REGIONAL ORIENTE</t>
  </si>
  <si>
    <t>Servicios de Gestion, servicios porfesionales de empresas, y servicios administrativos</t>
  </si>
  <si>
    <t>CO-080-2023</t>
  </si>
  <si>
    <t>regional oriente</t>
  </si>
  <si>
    <t>Cucuta</t>
  </si>
  <si>
    <t>DIANA CAROLINA ORTIZ BELTRAN</t>
  </si>
  <si>
    <t>20233001413000005E</t>
  </si>
  <si>
    <t>PCD-092-2023-65TEC</t>
  </si>
  <si>
    <t>CO-079-2023</t>
  </si>
  <si>
    <t>FRANCISCO JAVIER CASTELLANOS CARDENAS</t>
  </si>
  <si>
    <t>20233001413000010E</t>
  </si>
  <si>
    <t>PCD-099-2023-70TEC</t>
  </si>
  <si>
    <t>CO-088-2023</t>
  </si>
  <si>
    <t>JESUS DAVID GUERRERO CONTRERAS</t>
  </si>
  <si>
    <t>20233001413000011E</t>
  </si>
  <si>
    <t>PCD-100-2023-71TEC</t>
  </si>
  <si>
    <t>CO-089-2023</t>
  </si>
  <si>
    <t>MARIA CAMILA BLANCO AYALA</t>
  </si>
  <si>
    <t>20233001413000012E</t>
  </si>
  <si>
    <t>PCD-101-2023-72TEC</t>
  </si>
  <si>
    <t>CO-090-2023</t>
  </si>
  <si>
    <t>JAVIER HERNANDO CASTELLANOS CONTRERAS</t>
  </si>
  <si>
    <t>20233001413000017E</t>
  </si>
  <si>
    <t>PCD-087-2023-61TEC</t>
  </si>
  <si>
    <t>CO-076-2023</t>
  </si>
  <si>
    <t>ANDRÉS FELIPE REMOLINA OROSTEGUI</t>
  </si>
  <si>
    <t>20233001413000018E</t>
  </si>
  <si>
    <t>PCD-090-2023-62TEC</t>
  </si>
  <si>
    <t>CO-077-2023</t>
  </si>
  <si>
    <t>VIVIANA PAOLA SÁNCHEZ CAMARGO</t>
  </si>
  <si>
    <t>20233001413000019E</t>
  </si>
  <si>
    <t>PCD-091-2023-63TEC</t>
  </si>
  <si>
    <t>cancelado</t>
  </si>
  <si>
    <t>SHARON LIZBEHT ANAYA BAUTISTA</t>
  </si>
  <si>
    <t>20236231407000010E</t>
  </si>
  <si>
    <t>MC-006-2023</t>
  </si>
  <si>
    <t xml:space="preserve">minima cuantia </t>
  </si>
  <si>
    <t>aseo y cafeteria region 11</t>
  </si>
  <si>
    <t>Contratar el servicio integral de aseo y cafetería Región 11: Sede 1: 
CFSM Calle 100 Regional Andina, Sede 2: PCM Aeropuerto Internacional 
El Dorado, Sede 3: Sede Nivel central Edificio Argos, sede 4: CB Normandía de la UAEMC</t>
  </si>
  <si>
    <t>76111501-90101700</t>
  </si>
  <si>
    <t>servicios de aseo y limpieza- restaurantes y catering</t>
  </si>
  <si>
    <t>A-02-02-02-006-003</t>
  </si>
  <si>
    <t>AO-002-2023</t>
  </si>
  <si>
    <t xml:space="preserve">minima cuantia  </t>
  </si>
  <si>
    <t>LIMPIEZA INSTITUCIONAL LASU S.A.S.</t>
  </si>
  <si>
    <t>900427788-3</t>
  </si>
  <si>
    <t xml:space="preserve">Jesús Andrés Porras García </t>
  </si>
  <si>
    <t>20236231407000009E</t>
  </si>
  <si>
    <t>MC-007-2023</t>
  </si>
  <si>
    <t>aseo y cafeteria region 6</t>
  </si>
  <si>
    <t>Contratar el servicio integral de aseo y cafetería Región 06: Sede 1: PCM Rumichaca;
 Sede 2: Pasto; Sede 3: PCM Tumaco; Sede 4: PCM
 Chiles; Sede 5: PCM San Miguel; Sede 6: PCM Mataje</t>
  </si>
  <si>
    <t>AO-003-2023</t>
  </si>
  <si>
    <t>regional nariño</t>
  </si>
  <si>
    <t>Pasto</t>
  </si>
  <si>
    <t>KIOS S.A.S.</t>
  </si>
  <si>
    <t>900.562.598-8</t>
  </si>
  <si>
    <t>Ana Mercedez Figeroa</t>
  </si>
  <si>
    <t>20236001413000005E</t>
  </si>
  <si>
    <t>PCD-109-2023-3SG</t>
  </si>
  <si>
    <t>Prestación de servicios profesionales especializados 
con autonomía técnica y administrativa, para el apoyo a la gestión de la Secretaría General en el seguimiento administrativo y financiero de la contratación, en especial lo relacionado con el proyecto de tecnología.</t>
  </si>
  <si>
    <t>Servicios de gestión y servicios profesionales de empresa, y Servicios administrativos</t>
  </si>
  <si>
    <t>CO-101-2023</t>
  </si>
  <si>
    <t>CARLOS VLADIMIR COBO RAMIREZ</t>
  </si>
  <si>
    <t>20232501413000024E</t>
  </si>
  <si>
    <t>PCD-110-2023-17TEC</t>
  </si>
  <si>
    <t>CONTRATAR LA PRESTACIÓN DE LOS SERVICIOS PROFESIONALES PARA APOYAR LA GESTIÓN 
DE LA OFICINA DE TECNOLOGÍA DE LA INFORMACIÓN DE 
MIGRACIÓN COLOMBIA, EN LAS ACTIVIDADES PROPIAS DEL DESARROLLO DE APLICACIONES EN LENGUAJE .NET</t>
  </si>
  <si>
    <t>801116-811115-811120</t>
  </si>
  <si>
    <t>Servicios de gestion  Servicios Profesionales de Empresa y Servicios Administrativos - Servicios basados en Ingeniería Investigación y Tecnología -Servicios basados en Ingeniería Investigación y Tecnología</t>
  </si>
  <si>
    <t>CO-102-2023</t>
  </si>
  <si>
    <t>WILMAR ALDEMAR CABEZAS PISCO</t>
  </si>
  <si>
    <t>20236231410000005E</t>
  </si>
  <si>
    <t>compra articulos de papeleria y archivo</t>
  </si>
  <si>
    <t>Suministro de elementos de papelería y útiles de escritorio para las
 sedes a nivel nacional de la Unidad
Administrativa Especial Migración Colombia</t>
  </si>
  <si>
    <t>14111507-24141517-26111701-31162001-43202001-44101602</t>
  </si>
  <si>
    <t>Materiales yProductos de Papel -Maquinaria, accesorios y suministros para manejo, acondicionamiento y almacenamiento de materiales - Maquinaria y Accesorios para Generación y distribución de
Energía - Componentes y Suministros de Manufactura - Difusión de Tecnologías de Información y Telecomunicaciones - Equipos de oficina, accesorios y suministros</t>
  </si>
  <si>
    <t>A-02-02-01-003-002 / A-02-02-01-003-005 / A-02-02-01-003-006 
/ A-02-02-01-003-008 /A-02-02-01-004-002 
/ A-02-02-01-004-005 / A-02-02-01-004-006</t>
  </si>
  <si>
    <t>OC 106509-2023</t>
  </si>
  <si>
    <t>no</t>
  </si>
  <si>
    <t>Luz Elena Morales Alfonso</t>
  </si>
  <si>
    <t>20236231410000006E</t>
  </si>
  <si>
    <t>OC -106488-2023</t>
  </si>
  <si>
    <t>FERRICENTROS</t>
  </si>
  <si>
    <t>800237412-1</t>
  </si>
  <si>
    <t>20236231410000007E</t>
  </si>
  <si>
    <t>OC-106652-2023</t>
  </si>
  <si>
    <t>PANAMERICANA LIBRERÍA Y PAPELERÍA S.A.</t>
  </si>
  <si>
    <t>830037946-3</t>
  </si>
  <si>
    <t>20236231410000004E</t>
  </si>
  <si>
    <t>20236231410000009E</t>
  </si>
  <si>
    <t>OC-106654-2023</t>
  </si>
  <si>
    <t>VENEPLAST LTDA</t>
  </si>
  <si>
    <t>900019737-8</t>
  </si>
  <si>
    <t>JAVIER FERNANDO TORRES BARÓN</t>
  </si>
  <si>
    <t>20236231410000008E</t>
  </si>
  <si>
    <t>OC-106651-2023</t>
  </si>
  <si>
    <t xml:space="preserve"> JAIME BELTRAN URIBE - Polyflex</t>
  </si>
  <si>
    <t>20236221410000001E</t>
  </si>
  <si>
    <t>minima cuantia-acuerdo marco</t>
  </si>
  <si>
    <t>firmas digitales</t>
  </si>
  <si>
    <t>Adquirir certificados de firma digital de conformidad
 con las especificaciones de la unidad administrativa especial migración Colombia</t>
  </si>
  <si>
    <t>Difusión de tecnologías de información y telecomunicaciones Software ,Software de seguridad y protección</t>
  </si>
  <si>
    <t xml:space="preserve">20236231410000022E </t>
  </si>
  <si>
    <t>20236231410000023E</t>
  </si>
  <si>
    <t>MC-008-2023</t>
  </si>
  <si>
    <t>mantenimineto correctivo sillas ergonomicas</t>
  </si>
  <si>
    <t>Contratar el mantenimiento correctivo para la sillas ergonómicas de los
 funcionarios de Bogotá de Migración Colombia</t>
  </si>
  <si>
    <t>56112107 - 72153613</t>
  </si>
  <si>
    <t>MUEBLES MOBILIARIO Y DECORACION - SERVICIO DE EDIFICACION, CONSTRUCCION, DE INSTALACIONES Y MANTENIMIENTO</t>
  </si>
  <si>
    <t xml:space="preserve">Selección abreviada </t>
  </si>
  <si>
    <t xml:space="preserve"> menor cuantía</t>
  </si>
  <si>
    <t>Selección abreviada</t>
  </si>
  <si>
    <t>grandes superficies</t>
  </si>
  <si>
    <t>minima cuantia</t>
  </si>
  <si>
    <t>20236231414000004E</t>
  </si>
  <si>
    <t>PCD-103-2023-35SYF</t>
  </si>
  <si>
    <t>CONTRATAR EL ARRENDAMIENTO DE CUPOS DE PARQUEADERO PARA EL PARQUE AUTOMOTOR DE LA REGIONAL EJE CAFETERO UBICADA EN LA CIUDAD DE PEREIRA</t>
  </si>
  <si>
    <t>Arrendamiento de Instalaciones comerciales o industriales</t>
  </si>
  <si>
    <t>CO-100-2023</t>
  </si>
  <si>
    <t>ARRENDAMIENTO</t>
  </si>
  <si>
    <t>EJE CAFETERO</t>
  </si>
  <si>
    <t xml:space="preserve">PEREIRA </t>
  </si>
  <si>
    <t>UNIÒN TEMPORAL CITY PARKING BROKERS /: JUAN CARLOS SALAZAR SANTOS</t>
  </si>
  <si>
    <t>ELISABETH USECHE</t>
  </si>
  <si>
    <t>20236231410000010E</t>
  </si>
  <si>
    <t>MINIMA CUANTIA</t>
  </si>
  <si>
    <t xml:space="preserve">orden de compra </t>
  </si>
  <si>
    <t>CONTRATAR LA ADQUISICIÓN DE ELEMENTOS PARA LOS ALOJAMIENTOS DE LA ENTIDAD</t>
  </si>
  <si>
    <t>Colchones o sets para dormir</t>
  </si>
  <si>
    <t>A-02-02-01-003-008</t>
  </si>
  <si>
    <t>COMPRAVENTA</t>
  </si>
  <si>
    <t>CAJA COLOMBIANA DE SUBSIDIO FAMILIAR COLSUBSIDIO</t>
  </si>
  <si>
    <t>MILADIS PADILLA</t>
  </si>
  <si>
    <t>20236231410000014E</t>
  </si>
  <si>
    <t>20236231410000016E</t>
  </si>
  <si>
    <t>FERRICENTROS SAS</t>
  </si>
  <si>
    <t>20236231410000017E</t>
  </si>
  <si>
    <t>PROVEER INSTITUCIONAL SAS</t>
  </si>
  <si>
    <t>20236231410000003E</t>
  </si>
  <si>
    <t>CONTRATAR LA ADQUISICIÓN DE BOTIQUINES REQUERIDOS PARA PREVENCIÓN DE EMERGENCIAS</t>
  </si>
  <si>
    <t>Estuches o bolsas o accesorios de primeros auxilios para servicios médicos de emergencia</t>
  </si>
  <si>
    <t>A-02-02-01-003-005</t>
  </si>
  <si>
    <t> 20236211410000001E</t>
  </si>
  <si>
    <t xml:space="preserve">Servicios de limpieza y mantenimiento de edificios generales y de oficinas </t>
  </si>
  <si>
    <t>20236211410000002E</t>
  </si>
  <si>
    <t>20236211410000003E</t>
  </si>
  <si>
    <t>CONTRATAR EL SERVICIO INTEGRAL DE ASEO Y CAFETERÍA PARA LA SEDE DE VILLAVICENCIO REGIÓN 10 DE LA UNIDAD ADMINISTRATIVA ESPECIAL MIGRACIÓN COLOMBIA</t>
  </si>
  <si>
    <t>20236211410000006E</t>
  </si>
  <si>
    <t>20236211410000005E</t>
  </si>
  <si>
    <t>20236211410000007E</t>
  </si>
  <si>
    <t> 20236211410000009E</t>
  </si>
  <si>
    <t>20236211410000013E</t>
  </si>
  <si>
    <t>20236211410000008E</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</si>
  <si>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</si>
  <si>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20236211410000012E</t>
  </si>
  <si>
    <t>20236211410000011E</t>
  </si>
  <si>
    <t>20236211410000010E</t>
  </si>
  <si>
    <t>AREA DE LA  NECESIDAD</t>
  </si>
  <si>
    <t>20233021408000001E</t>
  </si>
  <si>
    <t>SIE-011-2023</t>
  </si>
  <si>
    <t>Abril</t>
  </si>
  <si>
    <t>11/042023</t>
  </si>
  <si>
    <t>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</si>
  <si>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Servicios de diseño e ingeniería de sistemas instrumentados de control</t>
  </si>
  <si>
    <t>PCD-119-2023</t>
  </si>
  <si>
    <t>20236231415000012E</t>
  </si>
  <si>
    <t>Servicio de mantenimiento preventivo y correctivo para los equipos de grafología video comparadores, con bolsa de repuestos.</t>
  </si>
  <si>
    <t>Servicio de instalación y mantenimiento de sistemas instrumentados de seguridad</t>
  </si>
  <si>
    <t>SAMC-006-2023</t>
  </si>
  <si>
    <t>20236231408000025E</t>
  </si>
  <si>
    <t>Contratar los servicios profesionales para la creación de contenidos virtuales para la plataforma de Migración Colombia.</t>
  </si>
  <si>
    <t>Servicios de formación de recursos humanos para el sector publico</t>
  </si>
  <si>
    <t>C-1199-1002-9-0-1199005-02</t>
  </si>
  <si>
    <t>20236231408000027E</t>
  </si>
  <si>
    <t>Contratar a todo costo incluyendo materiales y mano de obra, la adecuación del CFSM Maicao de la Regional Guajira.</t>
  </si>
  <si>
    <t>Servicios de apoyo para la construcción</t>
  </si>
  <si>
    <t>SABP-002-2023</t>
  </si>
  <si>
    <t>20236231420000002E</t>
  </si>
  <si>
    <t>SUMINISTRAR A NIVEL NACIONAL LOS UNIFORMES A LOS FUNCIONARIOS DE LA UNIDAD ADMINISTRATIVA ESPECIAL MIGRACIÓN COLOMBIA QUE LLEVAN A CABO LABORES MISIONALES, CORRESPONDIENTE A LA VIGENCIA.”</t>
  </si>
  <si>
    <t>Pantalones largos o cortos o pantalonetas para hombre</t>
  </si>
  <si>
    <t>OC-107791</t>
  </si>
  <si>
    <t>BPM CONSULTING</t>
  </si>
  <si>
    <t>LEIDY ANDREA MARTINEZ GUTIERREZ</t>
  </si>
  <si>
    <t xml:space="preserve">Juan David Camargo García </t>
  </si>
  <si>
    <t xml:space="preserve">20236231407000019E </t>
  </si>
  <si>
    <t>MC-013-2023</t>
  </si>
  <si>
    <t xml:space="preserve">Subdirección Administrativa y Financiera </t>
  </si>
  <si>
    <t xml:space="preserve">CONTRATAR EL SUMINISTRO DE COMBUSTIBLE PARQUE AUTOMOTOR Y PLANTAS ELÉCTRICAS REGIONAL SAN ANDRES Y PROVIDENCIA </t>
  </si>
  <si>
    <t xml:space="preserve">Combustible diésel </t>
  </si>
  <si>
    <t>A-02-02-01-003-003</t>
  </si>
  <si>
    <t xml:space="preserve">En trámite </t>
  </si>
  <si>
    <t xml:space="preserve">20236231415000015E </t>
  </si>
  <si>
    <t>PCD-116-2023</t>
  </si>
  <si>
    <t xml:space="preserve">Contratación Directa </t>
  </si>
  <si>
    <t xml:space="preserve">Interadministrativo </t>
  </si>
  <si>
    <t>PRESTAR EL SERVICIO DE ADMINISTRACIÓN, CUSTODIA, DIGITALIZACIÓN, ORGANIZACIÓN DE ARCHIVOS ASÍ COMO LA VERIFICACIÓN DE INVENTARIOS DOCUMENTALES, ELIMINACIÓN DOCUMENTAL y SANEAMIENTO AMBIENTAL DE LA UAEMC.</t>
  </si>
  <si>
    <t>Almacenaje de archivos de carpeta</t>
  </si>
  <si>
    <t>C-1199-1002-8-0-1199003-02; C-1199-1002-8-0-1199018-02</t>
  </si>
  <si>
    <t xml:space="preserve">En ejecución </t>
  </si>
  <si>
    <t>CO-120-2023</t>
  </si>
  <si>
    <t xml:space="preserve">Abril </t>
  </si>
  <si>
    <t xml:space="preserve">Bogotá D.C. </t>
  </si>
  <si>
    <t xml:space="preserve">ARCHIVOS DEL ESTADO Y TECNOLOGIAS DE LA INFORMACION SAS </t>
  </si>
  <si>
    <t>901.244.985-5</t>
  </si>
  <si>
    <t>CUMPLIMIENTO/SALARIOS/CALIDAD DEL SERVICIO</t>
  </si>
  <si>
    <t xml:space="preserve">ILVIS PATRICIA BORNACELLY </t>
  </si>
  <si>
    <t xml:space="preserve">20236141413000001E </t>
  </si>
  <si>
    <t>PCD-115-2023</t>
  </si>
  <si>
    <t xml:space="preserve">Subdirección de Talento Humano </t>
  </si>
  <si>
    <t>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t>
  </si>
  <si>
    <t>CO-114-2023</t>
  </si>
  <si>
    <t>NORMA PATRICIA SANCHEZ CUBIDES</t>
  </si>
  <si>
    <t xml:space="preserve">INGENIERA COMERCIAL </t>
  </si>
  <si>
    <t>CUMPLIMIENTO</t>
  </si>
  <si>
    <t xml:space="preserve">MARCELA LARA TORO </t>
  </si>
  <si>
    <t xml:space="preserve">20232501413000025E </t>
  </si>
  <si>
    <t>PCD-117-2023</t>
  </si>
  <si>
    <t xml:space="preserve">Oficina de Tecnología de la Información </t>
  </si>
  <si>
    <t>PRESTAR SERVICIOS PROFESIONALES A LA OFICINA DE TECNOLOGÍA DE LA INFORMACIÓN, PARA EL SEGUIMIENTO Y MANTENIMIENTO AL SISTEMA DE GESTIÓN DE LA SEGURIDAD DE LA INFORMACIÓN (SGSI) Y DEMÁS DOMINIOS DE ARQUITECTURA EMPRESARIAL DE MIGRACIÓN COLOMBIA</t>
  </si>
  <si>
    <t xml:space="preserve">Ingenieria de oftware y hardware </t>
  </si>
  <si>
    <t>CO-115-2023</t>
  </si>
  <si>
    <t xml:space="preserve">ISIS JOHANNA GOMEZ PERALTA </t>
  </si>
  <si>
    <t xml:space="preserve">DIEGO EMILIO OJEDA MONCAYO </t>
  </si>
  <si>
    <t xml:space="preserve">20236231416000011E </t>
  </si>
  <si>
    <t>PCD-118-2023</t>
  </si>
  <si>
    <t>CONTRATAR LA REALIZACIÓN DE ACCIONES DE FORMACIÓN ATENDIENDO LA SOLICITUD DE LAS OFICINAS : TECNOLOGIAS DE LA INFORMACION Y COMUNICACIONES, DIRIGIDO A FUNCIONARIOS DE MIGRACIÓN COLOMBIA</t>
  </si>
  <si>
    <t xml:space="preserve">Educación Adultos </t>
  </si>
  <si>
    <t>20236231407000012E</t>
  </si>
  <si>
    <t>MC-012-2023</t>
  </si>
  <si>
    <t xml:space="preserve">CONTRATAR EL SUMINISTRO DE UNA BOLSA DE REPUESTOS PARA EQUIPOS DE COMPUTO E IMPRESIÓN. </t>
  </si>
  <si>
    <t>32101601;43211706;43201803;43202222;43211708;43211719;43211711;44101706;44103004;44103125</t>
  </si>
  <si>
    <t>Memoria de acceso aleatorio (ram) - Teclados - Unidades de disco duro - Cables de computador - Mouse o bola de seguimiento para computador - Micrófonos de voz para computadores - Escáneres - Unidades de fotoconductores o imágenes - Fusores - Kit de mantenimiento de impresoras</t>
  </si>
  <si>
    <t>MC-010-2023</t>
  </si>
  <si>
    <t>Prestación de Servicios</t>
  </si>
  <si>
    <t xml:space="preserve">SERVICIO DE MANTENIMIENTO PREVENTIVO Y CORRECTIVO INCLUIDO REPUESTOS PARA EL PARQUE AUTOMOTOR  REGIONAL ORIENTE EN LA CIUDAD DE CÚCUTA </t>
  </si>
  <si>
    <t>Reparación y mantenimiento automotor y de camiones ligeros</t>
  </si>
  <si>
    <t>20236231407000024E</t>
  </si>
  <si>
    <t>MC-011-2023</t>
  </si>
  <si>
    <t>SERVICIO DE MANTENIMIENTO PREVENTIVO Y CORRECTIVO INCLUIDO REPUESTOS PARA EL PARQUE AUTOMOTOR DE LA  REGIONAL ATLÁNTICO</t>
  </si>
  <si>
    <t>20236231416000006E</t>
  </si>
  <si>
    <t>PCD-114-2023-9TH</t>
  </si>
  <si>
    <t>CONTRATAR LOS SERVICIOS PROFESIONALES PARA LA REALIZACIÓN DE ACCIONES DE FORMACIÓN EN DIFERENTES CONTENIDOS TEMÁTICOS A FIN DE LLEVAR A CABO CAPACITACIONES PARA LOS FUNCIONARIOS DE MIGRACIÓN COLOMBIA A NIVEL NACIONAL</t>
  </si>
  <si>
    <t>86111600;86111500</t>
  </si>
  <si>
    <t>Educación de adultos - Servicios de aprendizaje a distancia</t>
  </si>
  <si>
    <t>Ana Mercedez Figueroa</t>
  </si>
  <si>
    <t>AO-007-2023</t>
  </si>
  <si>
    <t>POWERSUN SAS</t>
  </si>
  <si>
    <t>AO-006-2023</t>
  </si>
  <si>
    <t>INDULTEC SOLUCIONES INTEGRALES SAS</t>
  </si>
  <si>
    <t>JUAN CARLOS ACOSTA ALVAREZ</t>
  </si>
  <si>
    <t>20236211410000016E</t>
  </si>
  <si>
    <t>R2 CONTRATAR EL SERVICIO INTEGRAL DE ASEO Y CAFETERÍA REGIÓN 2 (CARIBE)</t>
  </si>
  <si>
    <t>EN TRAMITE</t>
  </si>
  <si>
    <t xml:space="preserve">ABRIL </t>
  </si>
  <si>
    <t xml:space="preserve">PREStación de Servicios de apoyo a la Gestion </t>
  </si>
  <si>
    <t>Regional Caribe</t>
  </si>
  <si>
    <t>Cartagena</t>
  </si>
  <si>
    <t>UT ECOLIMPIEZA 4G</t>
  </si>
  <si>
    <t>PENDIENTE</t>
  </si>
  <si>
    <t>20236211410000018E</t>
  </si>
  <si>
    <t>R6 CONTRATAR EL SERVICIO INTEGRAL DE ASEO Y CAFETERIA REGION 6 (NARIÑO)</t>
  </si>
  <si>
    <t xml:space="preserve">PUBLICADO CIERRE SOL RFI EL 27 DE ABRIL </t>
  </si>
  <si>
    <t>R16 CONTRATAR EL SERVICIO INTEGRAL DE ASEO Y CAFETERIA PARA LA SEDE 1: CFSM PUERTO CARREÑO. REGION 16 DE LA UNIDAD ADMINISTRATIVA ESPECIAL MIGRACIÓN COLOMBIA</t>
  </si>
  <si>
    <t xml:space="preserve">PUBLICADO CIERRE SOL RFI EL 25 DE ABRIL </t>
  </si>
  <si>
    <t>20236231410000025E</t>
  </si>
  <si>
    <t>SUBDIRECCION TALENTO HUMANO</t>
  </si>
  <si>
    <t>CONTRATAR LA ADQUISICIÓN DE ELEMENTOS PARA PREVENCIÓN DE RIESGO ERGONÓMICO</t>
  </si>
  <si>
    <t>Descansapies</t>
  </si>
  <si>
    <t>JAIME BELTRAN URIBE</t>
  </si>
  <si>
    <t xml:space="preserve">ANGY ACOCHA ARISTIZABAL </t>
  </si>
  <si>
    <t>20236231409000001E</t>
  </si>
  <si>
    <t>20236231410000026E</t>
  </si>
  <si>
    <t>CONTRATAR LA ADQUISICIÓN DE ELEMENTOS DE PROTECCIÓN PERSONAL E INDIVIDUAL (ELEMENTOS DE PROTECCIÓN  (CHALECOS REFLECTIVOS, GAFAS, PROTECTORES AUDITIVOS)) PARA LOS FUNCIONARIOS QUE REALIZAN OTRAS ACTIVIDADES MISIONALES, TENIENDO EN CUENTA LO CONTEMPLADO POR SALUD OCUPACIONAL.</t>
  </si>
  <si>
    <t>RUBY VILLARRAGA BELLO</t>
  </si>
  <si>
    <t>INVERSION Y HOGAR SAS</t>
  </si>
  <si>
    <t>PEQUEÑA</t>
  </si>
  <si>
    <t>R1 CONTRATAR EL SERVICIO INTEGRAL DE ASEO Y CAFETERIA PARA LAS SEDES DE: SANTA MARTA, RIOHACHA, MAICAO, VALLEDUPAR, Y PCM PARAGUACHON (MAICAO) REGION 1 DE LA UNIDAD ADMINISTRATIVA ESPECIAL MIGRACIÓN COLOMBIA</t>
  </si>
  <si>
    <t>Regional Atlantico</t>
  </si>
  <si>
    <t>Santa Martha</t>
  </si>
  <si>
    <t>UT OUTSOURCING GIAF</t>
  </si>
  <si>
    <t>21/04/202</t>
  </si>
  <si>
    <t>HILAIS MILAGRO ARREDONDO</t>
  </si>
  <si>
    <t>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t>
  </si>
  <si>
    <t>107281</t>
  </si>
  <si>
    <t>Regional Antioquia</t>
  </si>
  <si>
    <t>Medellin</t>
  </si>
  <si>
    <t xml:space="preserve">UNION TEMPORAL SERTOP </t>
  </si>
  <si>
    <t>TANIA DE CARMEN MORALES</t>
  </si>
  <si>
    <t>R4 CONTRATAR EL SERVICIO INTEGRAL DE ASEO Y CAFETERIA PARA LA SEDE DE ARMENIA, PEREIRA, EL EDÉN (LA TEBAIDA) Y MANIZALES. REGION 4 DE LA UNIDAD ADMINISTRATIVA ESPECIAL MIGRACIÓN COLOMBIA</t>
  </si>
  <si>
    <t>Regional Eje Cafetero</t>
  </si>
  <si>
    <t>Armenia</t>
  </si>
  <si>
    <t>ELISABETH USECHE MARIN</t>
  </si>
  <si>
    <t>R5 CONTRATAR EL SERVICIO INTEGRAL DE ASEO Y CAFETERIA PARA LAS SEDES DE POPAYÁN, BUENAVENTURA, CALI Y PALMIRA REGION 5 DE LA UNIDAD ADMINISTRATIVA ESPECIAL MIGRACIÓN COLOMBIA</t>
  </si>
  <si>
    <t>107318</t>
  </si>
  <si>
    <t>Regional Occidente</t>
  </si>
  <si>
    <t>Cali</t>
  </si>
  <si>
    <t xml:space="preserve">INTERNEGOCIOS SAS </t>
  </si>
  <si>
    <t>AIDA LORENA TELLO</t>
  </si>
  <si>
    <t>R7 CONTRATAR EL SERVICIO INTEGRAL DE ASEO Y CAFETERIA PARA LAS SEDES: NEIVA, IBAGUÉ Y PUERTO LEGUIZAMO, REGION 7 DE LA UNIDAD ADMINISTRATIVA ESPECIAL MIGRACIÓN COLOMBIA</t>
  </si>
  <si>
    <t>Neiva</t>
  </si>
  <si>
    <t>Ibague</t>
  </si>
  <si>
    <t xml:space="preserve">CARLOS ALBERTO ARCHILA </t>
  </si>
  <si>
    <t>20236211410000014E</t>
  </si>
  <si>
    <t>R8 CONTRATAR EL SERVICIO INTEGRAL DE ASEO Y CAFETERÍA PARA LAS SEDES TUNJA Y YOPAL REGIÓN 8 DE LA UNIDAD ADMINISTRATIVA ESPECIAL MIGRACIÓN COLOMBIA</t>
  </si>
  <si>
    <t>Tunja</t>
  </si>
  <si>
    <t>UT ASEAMOS 2022 A4</t>
  </si>
  <si>
    <t>R10 CONTRATAR EL SERVICIO INTEGRAL DE ASEO Y CAFETERÍA PARA LA SEDE DE VILLAVICENCIO REGIÓN 10 DE LA UNIDAD ADMINISTRATIVA ESPECIAL MIGRACIÓN COLOMBIA</t>
  </si>
  <si>
    <t>107282</t>
  </si>
  <si>
    <t>villavicencio</t>
  </si>
  <si>
    <t>MIGUEL ANGEL LUNA  CASTRO</t>
  </si>
  <si>
    <t>20236211410000015E</t>
  </si>
  <si>
    <t>R11 CONTRATAR EL SERVICIO INTEGRAL DE ASEO Y CAFETERIA REGION 11: Sede 1: CFSM Calle 100 Regional Andina, Sede 2: PCM Aeropuerto Internacional El Dorado, Sede 3: Sede Nivel central Edificio Argos, sede 4: CB Normandía de la UAEMC.</t>
  </si>
  <si>
    <t>Nivel central</t>
  </si>
  <si>
    <t>JOHANA OVIEDO MOLANO</t>
  </si>
  <si>
    <t>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</si>
  <si>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107605</t>
  </si>
  <si>
    <t>San Andres y Providencia</t>
  </si>
  <si>
    <t xml:space="preserve">LIMPIEZA INSTITUCIONAL LASU </t>
  </si>
  <si>
    <t>ARLET PATRICIA VILLADIEGO</t>
  </si>
  <si>
    <t>R13 CONTRATAR EL SERVICIO INTEGRAL DE ASEO Y CAFETERIA PARA LAS SEDES DE: SEDE 1: CFSM LETICIA, SEDE 2: PCMA AEROPUERTO INTERNACIONAL ALFREDO VASQUEZ COBO, SEDE 3: PCM BALSA MIGRATORIA LETICIA, REGION 13 DE LA UNIDAD ADMINISTRATIVA ESPECIAL MIGRACIÓN COLOMBIA.</t>
  </si>
  <si>
    <t>107284</t>
  </si>
  <si>
    <t>amazonas</t>
  </si>
  <si>
    <t>CONSERJES INMOBILIARIOS</t>
  </si>
  <si>
    <t>DIANA VICENTA CAMARGO</t>
  </si>
  <si>
    <t>R14 CONTRATAR EL SERVICIO INTEGRAL DE ASEO Y CAFETERIA PARA LA SEDE 1: PCM BAHÍA SOLANO, SEDE 2: CFSM QUIBDÓ, REGION 14 DE LA UNIDAD ADMINISTRATIVA ESPECIAL MIGRACIÓN COLOMBIA</t>
  </si>
  <si>
    <t>107476</t>
  </si>
  <si>
    <t>Choco</t>
  </si>
  <si>
    <t>R15 CONTRATAR EL SERVICIO INTEGRAL DE ASEO Y CAFETERIA PARA LAS SEDES DE: SEDE 1: CFSM ARAUCA, SEDE 2: PCM PUENTE INTERNACIONAL JOSÉ ANTONIO PÁEZ, REGION 15 DE LA UNIDAD ADMINISTRATIVA ESPECIAL MIGRACIÓN COLOMBIA.</t>
  </si>
  <si>
    <t>Arauca</t>
  </si>
  <si>
    <t>RAFAEL RICARDO ZUÑIGA</t>
  </si>
  <si>
    <t>R18 CONTRATAR EL SERVICIO INTEGRAL DE ASEO Y CAFETERIA PARA LA SEDE 1: PCM PUERTO INÍRIDA, REGION 18 DE LA UNIDAD ADMINISTRATIVA ESPECIAL MIGRACIÓN COLOMBIA</t>
  </si>
  <si>
    <t>107466</t>
  </si>
  <si>
    <t>pto inirida</t>
  </si>
  <si>
    <t xml:space="preserve">PAMELA ANDREA GUANARE </t>
  </si>
  <si>
    <t>Adquirir certificados de firma digital de conformidad con las especificaciones de la unidad administrativa especial migración Colombia</t>
  </si>
  <si>
    <t>Software de seguridad y protección</t>
  </si>
  <si>
    <t>SOCIEDAD CAMERAL DE CERTIFICACION DIGITAL CERTICAMARA S.A.</t>
  </si>
  <si>
    <t>GILMER AMEZQUITA  MONROY</t>
  </si>
  <si>
    <t>20236231410000018E</t>
  </si>
  <si>
    <t>GESTION DE SEGURIDAD ELECTRONICA SA</t>
  </si>
  <si>
    <t> 72923</t>
  </si>
  <si>
    <t>SHIRLEY HERAZ DE LA OZ</t>
  </si>
  <si>
    <t>20236231410000024E</t>
  </si>
  <si>
    <t xml:space="preserve">YANA CRISTINA GONZALEZ </t>
  </si>
  <si>
    <t>Suministro de elementos de papelería y útiles de escritorio para las sedes a nivel nacional de la Unidad Administrativa Especial Migración Colombia.</t>
  </si>
  <si>
    <t>Papel para Impresora o fotocopiadora</t>
  </si>
  <si>
    <t>LUZ ELENA MORALES ALFONSO</t>
  </si>
  <si>
    <t>DESIERTO</t>
  </si>
  <si>
    <t>NO HAY RESOLUCION</t>
  </si>
  <si>
    <t>20236231407000016E</t>
  </si>
  <si>
    <t>SAMC-005-2023</t>
  </si>
  <si>
    <t>abril</t>
  </si>
  <si>
    <t>Selección Abreviada - Menor Cuantía</t>
  </si>
  <si>
    <t xml:space="preserve">Contratar el servicio de mantenimiento preventivo y correctivo incluido repuesto para el parque automotor ubicado en Bogotá y Regional Andina sedes Tunja, Ibagué y Neiva.  </t>
  </si>
  <si>
    <t>20236231408000015E</t>
  </si>
  <si>
    <t>SIE-012-2023</t>
  </si>
  <si>
    <t xml:space="preserve">Selección Abreviada - Subasta Inversa Electrónica o Presencial </t>
  </si>
  <si>
    <t>Oficina de Tecnologías de la Información</t>
  </si>
  <si>
    <t>Adquirir renovación, actualización y soporte del licenciamiento Aranda y servicios asociados saas.</t>
  </si>
  <si>
    <t>43231500 - 43231501 - 81111800 - 81112200 - 43232300 - 43232600</t>
  </si>
  <si>
    <t>Software de Mesa de ayuda</t>
  </si>
  <si>
    <t>20236231408000017E</t>
  </si>
  <si>
    <t>SIE-013-2023</t>
  </si>
  <si>
    <t xml:space="preserve">Contratar la actualización del licenciamiento de Antivirus con soporte técnico, de conformidad con las especificaciones técnicas señaladas por la Unidad Administrativa Especial Migración Colombia. </t>
  </si>
  <si>
    <t>43232800 - 43232900 - 43233200 - 81112200 - 81112500 - 81112202</t>
  </si>
  <si>
    <t>20236231408000020E</t>
  </si>
  <si>
    <t>SAMC-008-2023</t>
  </si>
  <si>
    <t>Contratar a todo costo, incluyendo materiales y mano de obra, la adecuación de la sede del CFSM de Medellín - Regional Antioquia.</t>
  </si>
  <si>
    <t xml:space="preserve"> 72101507 - 72102905 - 81101701 - 72151605</t>
  </si>
  <si>
    <t xml:space="preserve">Servicios de apoyo para la construcción </t>
  </si>
  <si>
    <t xml:space="preserve">C-1103-1002-2-0-1103002-02 </t>
  </si>
  <si>
    <t>20236231408000014E</t>
  </si>
  <si>
    <t>SIE-014-2023</t>
  </si>
  <si>
    <t>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t>
  </si>
  <si>
    <t>26111600 - 72103302 - 26111700 - 26131800</t>
  </si>
  <si>
    <t xml:space="preserve">Generadores de Energía </t>
  </si>
  <si>
    <t>AO-008-2023</t>
  </si>
  <si>
    <t>Amazonas</t>
  </si>
  <si>
    <t>Leticia - Amazonas</t>
  </si>
  <si>
    <t>ALBERTO LÓPEZ JIMÉNEZ</t>
  </si>
  <si>
    <t>CO-109-2023</t>
  </si>
  <si>
    <t>SERVICIO AEREO A TERRITORIOS NACIONALES S.A. SATENA</t>
  </si>
  <si>
    <t>FERNANDEZ BAQUERO JUDY MELINDA</t>
  </si>
  <si>
    <t>CO-111-2023</t>
  </si>
  <si>
    <t xml:space="preserve">Contrato Electrónico de Sucripción </t>
  </si>
  <si>
    <t>Calle 24A No 59 - 42 Edificio Argos</t>
  </si>
  <si>
    <t>PUBLICACIONES SEMANA S.A.</t>
  </si>
  <si>
    <t>860.509.256-1</t>
  </si>
  <si>
    <t>CO-110-2023</t>
  </si>
  <si>
    <t xml:space="preserve">Contrato de Comisión </t>
  </si>
  <si>
    <t xml:space="preserve">CORREAGRO S.A. </t>
  </si>
  <si>
    <t>805000867-9</t>
  </si>
  <si>
    <t>78823/78723</t>
  </si>
  <si>
    <t>ANDREA PEREZ ARISMENDI</t>
  </si>
  <si>
    <t>20236211410000017E</t>
  </si>
  <si>
    <t>Cesar Augusto Mejía Carrillo</t>
  </si>
  <si>
    <t>20236231410000021E</t>
  </si>
  <si>
    <t xml:space="preserve">CONTRATAR LA ADQUISICIÓN DE SOAT PARA EL PARQUE AUTOMOTOR DE MIGRACIÓN COLOMBIA </t>
  </si>
  <si>
    <t>Seguro de daños personales por accidente</t>
  </si>
  <si>
    <t>Orden de compra</t>
  </si>
  <si>
    <t>MAPFRE SEGUROS GENERALES DE COLOMBIA S.A</t>
  </si>
  <si>
    <t>ELIANA CRISTINA CAMARGO SEGURA</t>
  </si>
  <si>
    <t>CONTRATAR LA ACTUALIZACIÓN DE LAS LICENCIAS PARA LOS SISTEMAS KACTUS Y SEVEN Y SERVICIO DE SOPORTE TÉCNICO ESPECIALIZADO PRESENCIAL, DE CONFORMIDAD CON LAS ESPECIFICACIONES DE LA UNIDAD ADMINISTRATIVA ESPECIAL MIGRACIÓN COLOMBIA INDICADAS EN EL ESTUDIO PREVIO</t>
  </si>
  <si>
    <t>45 CUMPLIM+ CALIDAD DL SERVICIO</t>
  </si>
  <si>
    <t>LUIS FERNANDO MARTINEZ</t>
  </si>
  <si>
    <t>SIE-016-2023</t>
  </si>
  <si>
    <t>SIE-015-2023</t>
  </si>
  <si>
    <t>PCD-132-2023</t>
  </si>
  <si>
    <t>SAMC-011-2023</t>
  </si>
  <si>
    <t>PCD-125-2023</t>
  </si>
  <si>
    <t>PCD-120-2023</t>
  </si>
  <si>
    <t>20236231408000031E</t>
  </si>
  <si>
    <t>Mayo</t>
  </si>
  <si>
    <t>Adquisición de aires acondicionados para las diferentes sedes de Migración Colombia a nivel nacional.</t>
  </si>
  <si>
    <t>Aires Acondicionados</t>
  </si>
  <si>
    <t>A-02-01-01-004-003</t>
  </si>
  <si>
    <t>20236231408000030E</t>
  </si>
  <si>
    <t>Servicio de mantenimiento preventivo y correctivo de plantas eléctricas a nivel nacional.</t>
  </si>
  <si>
    <t>Servicios de mantenimiento y reparación de equipo motivo y generación de energía eléctrica</t>
  </si>
  <si>
    <t> 20236231415000017E</t>
  </si>
  <si>
    <t>Adquisición de insumos para sellos de control migratorio.</t>
  </si>
  <si>
    <t>Suministros para seguridad y protección</t>
  </si>
  <si>
    <t>20236231408000028E</t>
  </si>
  <si>
    <t>Contratar a todo costo, incluyendo materiales y mano de obra, la adecuación del CFSM San Andrés de la Regional San Andrés.</t>
  </si>
  <si>
    <t>Servicios de edificación, Construcción de instalaciones, y mantenimiento</t>
  </si>
  <si>
    <t>20236301413000003E</t>
  </si>
  <si>
    <t>SUBDIRECCION DE CONTROL DISCIPLINARIO INTERNO</t>
  </si>
  <si>
    <t>Prestar los servicios profesionales especializados como apoyo jurídico de los proyectos para la optimización de los servicios y procesos migratorios a cargo de la Oficina de Tecnología de la Información y el análisis, evaluación, impulso y sustanciación de los procesos Disciplinarios en la Subdirección de Control Disciplinario Interno y demás asuntos que se recepcionen y asignen, de acuerdo con las condiciones señaladas y especificaciones técnicas descritas en los estudios previos.</t>
  </si>
  <si>
    <t>Servicios de gestión, Servicios profesionales de empresa, y Servicios administrativos</t>
  </si>
  <si>
    <t>20232501413000026E</t>
  </si>
  <si>
    <t>Contratar la prestación de los servicios profesionales para realizar actividades de desarrollo de Web Service a los ambientes de pruebas y producción.</t>
  </si>
  <si>
    <t>CO-124-2023</t>
  </si>
  <si>
    <t>JORGE ANDRÉS ESPINOSA PINEDA</t>
  </si>
  <si>
    <t>16/01/1897</t>
  </si>
  <si>
    <t>CO-129-2023</t>
  </si>
  <si>
    <t>ANDRES FELIPE DE LOS RIOS SALAZAR</t>
  </si>
  <si>
    <t>ABOGADO</t>
  </si>
  <si>
    <t>C-1199-1002-12-0-1199065-02</t>
  </si>
  <si>
    <t>SAMC-007-2023</t>
  </si>
  <si>
    <t>CO-113-2023</t>
  </si>
  <si>
    <t xml:space="preserve">Prestacion de Servicios </t>
  </si>
  <si>
    <t>UT AUTOMATIZACION Y REPLICACION 2023</t>
  </si>
  <si>
    <t>CO-118-2023</t>
  </si>
  <si>
    <t>Nivel Nacional</t>
  </si>
  <si>
    <t>COMERCIALIZADORA ELECTROMERO SAS</t>
  </si>
  <si>
    <t>MARTINEZ FIGUEROA LUIS FERNANDO</t>
  </si>
  <si>
    <t>CO-121-2023</t>
  </si>
  <si>
    <t>Seguros</t>
  </si>
  <si>
    <t>ASEGURADORA SOLIDARIA DE COLOMBIA ENTIDAD COOPERATIVA</t>
  </si>
  <si>
    <t>85223 VF 223</t>
  </si>
  <si>
    <t>CO-122-2023</t>
  </si>
  <si>
    <t>85323 VF 323</t>
  </si>
  <si>
    <t>CO-119-2023</t>
  </si>
  <si>
    <t>VOXCOM SAS</t>
  </si>
  <si>
    <t>CO-130-2023</t>
  </si>
  <si>
    <t>UT MIGRACION 2023</t>
  </si>
  <si>
    <t> ACOSTA ALVAREZ JUAN CARLOS</t>
  </si>
  <si>
    <t>20236231415000014E</t>
  </si>
  <si>
    <t>PCD-122-2023</t>
  </si>
  <si>
    <t xml:space="preserve">Exclusividad </t>
  </si>
  <si>
    <t>SERVICIO DE MANTENIMIENTO PREVENTIVO Y CORRECTIVO INCLUIDO REPUESTOS PARA VEHÍCULOS MARCA NISSAN A NIVEL NACIONAL</t>
  </si>
  <si>
    <t xml:space="preserve">Reparación y mantenimiento automotor y de camiones ligeros </t>
  </si>
  <si>
    <t>20236231407000018E</t>
  </si>
  <si>
    <t>MC-018-2023</t>
  </si>
  <si>
    <t xml:space="preserve">Prestación de Servicios </t>
  </si>
  <si>
    <t>SERVICIO DE MANTENIMIENTO PREVENTIVO Y CORRECTIVO INCLUIDO REPUESTOS PARA EL PARQUE AUTOMOTOR DE LA REGIONAL OCCIDENTE</t>
  </si>
  <si>
    <t>20236231408000033E</t>
  </si>
  <si>
    <t>SAMC-009-2023</t>
  </si>
  <si>
    <t>CONTRATAR A TODO COSTO INCLUYENDO MATERIALES Y MANO DE OBRA, EL MANTENIMIENTO DE LAS INSTALACIONES FISICAS, ASI COMO DE LOS EQUIPOS MECÁNICOS E HIDRAULICOS, Y LA INSTALACION DE MEDIDORES PARA EL PCMF</t>
  </si>
  <si>
    <t>72102905-72101507-72151605-81101707</t>
  </si>
  <si>
    <t xml:space="preserve">Servicio de mantenimiento de edificios </t>
  </si>
  <si>
    <t>20236231416000009E</t>
  </si>
  <si>
    <t>PCD-121-2023</t>
  </si>
  <si>
    <t>CONTRATAR LOS SERVICIOS PROFESIONALES PARA LA REALIZACIÓN DE ACCIONES DE FORMACIÓN ATENDIENDO LAS SOLICITUDES DE AREAS MISIONALES DIRIGIDO A FUNCIONARIOS DE MIGRACIÓN COLOMBIA</t>
  </si>
  <si>
    <t>Educación de adultos</t>
  </si>
  <si>
    <t>20236211413000008E</t>
  </si>
  <si>
    <t>PCD-123-2023</t>
  </si>
  <si>
    <t>PRESTACIÓN DE SERVICIOS PROFESIONALES CON AUTONOMÍA TÉCNICA Y ADMINISTRATIVA PARA APOYAR LA GESTIÓN DE LA SUBDIRECCIÓN ADMINISTRATIVA Y FINANCIERA, EN LO REFERENTE A LA GESTIÓN AMBIENTAL DE LA ENTIDAD</t>
  </si>
  <si>
    <t xml:space="preserve">Servicio de certificación de cumplimiento de requisitos legales </t>
  </si>
  <si>
    <t>CO-126-2023</t>
  </si>
  <si>
    <t xml:space="preserve">Mayo </t>
  </si>
  <si>
    <t>KAREN ELIANA CAÑON DUARTE</t>
  </si>
  <si>
    <t>ADMINISTRADOR AMBIENTAL</t>
  </si>
  <si>
    <t xml:space="preserve">ANDREA PEREZ ARISMENDI </t>
  </si>
  <si>
    <t>CO-123-2023</t>
  </si>
  <si>
    <t>UNIVERSIDAD DISTRITAL FRANCISCO JOSE DE CALDAS</t>
  </si>
  <si>
    <t>ROSA MARIA MARTINEZ GONZALEZ</t>
  </si>
  <si>
    <t>20236231415000006E</t>
  </si>
  <si>
    <t>PCD-126-2023</t>
  </si>
  <si>
    <t>CONTRATAR LA PRESTACIÓN DE SERVICIOS PARA LA CONSULTA AUTOMÁTICA DE PROCESOS JUDICIALES EN LA RAMA JUDICIAL DE COLOMBIA EN DONDE SEA PARTE LA UNIDAD ADMINISTRATIVA ESPECIAL MIGRACIÓN COLOMBIA</t>
  </si>
  <si>
    <t>80161504;43232612;81112209;80151504</t>
  </si>
  <si>
    <t>Servicios de oficina-Software de fabricación asistida por computador cam-Mantenimiento de software de desarrollo-Servicios de promoción comercial</t>
  </si>
  <si>
    <t>20236231407000011E</t>
  </si>
  <si>
    <t>MC-019-2023</t>
  </si>
  <si>
    <t>SERVICIO DE SOPORTE TÉCNICO PARA LAS HERRAMIENTAS MICROSOFT.</t>
  </si>
  <si>
    <t>81112500;81112200</t>
  </si>
  <si>
    <t>Servicios de alquiler o arrendamiento de licencias de software de computador-Mantenimiento y soporte de software</t>
  </si>
  <si>
    <t>20236231407000025E</t>
  </si>
  <si>
    <t>MC-015-2023</t>
  </si>
  <si>
    <t>SERVICIO DE MANTENIMIENTO PREVENTIVO Y CORRECTIVO INCLUIDO REPUESTOS PARA EL PARQUE AUTOMOTOR DE LA REGIONAL ORIENTE EN LA CIUDAD DE BUCARAMANGA</t>
  </si>
  <si>
    <t>20236231407000023E</t>
  </si>
  <si>
    <t>MC-014-2023</t>
  </si>
  <si>
    <t>SERVICIO DE MANTENIMIENTO PREVENTIVO Y CORRECTIVO INCLUIDO REPUESTOS PARA EL PARQUE AUTOMOTOR DE LA REGIONAL ORINOQUIA</t>
  </si>
  <si>
    <t>20236231407000022E</t>
  </si>
  <si>
    <t>MC-016-2023</t>
  </si>
  <si>
    <t>SERVICIO DE MANTENIMIENTO PREVENTIVO Y CORRECTIVO INCLUIDO REPUESTOS PARA EL PARQUE AUTOMOTOR DE LA REGIONAL EJE CAFETERO</t>
  </si>
  <si>
    <t>20236211413000009E</t>
  </si>
  <si>
    <t>PCD-124-2023</t>
  </si>
  <si>
    <t>PRESTAR LOS SERVICIOS DE APOYO ASISTENCIAL,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</si>
  <si>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Servicios de mantenimiento y reparación de instalaciones</t>
  </si>
  <si>
    <t>CO-127-2023</t>
  </si>
  <si>
    <t>RUBEN DARIO CUERVO SALGADO</t>
  </si>
  <si>
    <t>20236231408000021E</t>
  </si>
  <si>
    <t>SAMC-010-2023</t>
  </si>
  <si>
    <t xml:space="preserve"> Menor cuantía</t>
  </si>
  <si>
    <t>CONTRATAR A TODO COSTO, INCLUYENDO MATERIALES Y MANO DE OBRA, LA  ADECUACIÓN Y MANTENIMIENTO DE LA CUBIERTA DE LA SEDE DEL CFSM DE CALI REGIONAL OCCIDENTE</t>
  </si>
  <si>
    <t>Servicios de apoyo para la construcción-Servicios de mantenimiento y reparación de instalaciones-Servicios de construcción de edificios comerciales y de oficina-Ingeniería civil y arquitectura</t>
  </si>
  <si>
    <t>20236231408000029E</t>
  </si>
  <si>
    <t>SAMC-012-2023</t>
  </si>
  <si>
    <t>CONTRATAR LOS SERVICIOS DE APOYO TÉCNICO A LA GESTIÓN, PARA LA REALIZACIÓN DE UNA CAPACITACIÓN EN DEFENSA PERSONAL Y TÉCNICAS DE AUTOCONTROL DIRIGIDA A LOS FUNCIONARIOS DE MIGRACIÓN COLOMBIA.</t>
  </si>
  <si>
    <t>86101808;86111600;80111600</t>
  </si>
  <si>
    <t>Servicios de formación de recursos humanos para el sector público- Educación de adultos-Servicios de personal temporal</t>
  </si>
  <si>
    <t>20236231414000010E</t>
  </si>
  <si>
    <t>PCD-129-2023</t>
  </si>
  <si>
    <t>CONTRATAR EL ARRENDAMIENTO DE CUPOS DE PARQUEADERO PARA EL PARQUE AUTOMOTOR DEL CENTRO FACILITADOR DE SERVICIOS MIGRATORIOS EN LA CIUDAD DE RIOHACHA</t>
  </si>
  <si>
    <t>CO-117-2023</t>
  </si>
  <si>
    <t>UNIVERSIDAD MILITAR NUEVA GRANADA</t>
  </si>
  <si>
    <t>CO-125-2023</t>
  </si>
  <si>
    <t>SOLUTION COPY LTDA</t>
  </si>
  <si>
    <t>LUIS FERNANDO MARTINEZ FIGUEROA</t>
  </si>
  <si>
    <t>20236231414000009E</t>
  </si>
  <si>
    <t>PCD-127-2023</t>
  </si>
  <si>
    <t>mayo</t>
  </si>
  <si>
    <t>Contratar el arriendo del parqueadero – Arauca – Regional Orinoquía.</t>
  </si>
  <si>
    <t>20236231414000008E</t>
  </si>
  <si>
    <t>PCD-130-2023</t>
  </si>
  <si>
    <t>Contratar el arriendo del parqueadero - Aeropuerto El Dorado.</t>
  </si>
  <si>
    <t>CO-133-2023</t>
  </si>
  <si>
    <t xml:space="preserve">CONTRATO ELECTRÓNICO DE ARRENDAMIENTO </t>
  </si>
  <si>
    <t>Eldorado</t>
  </si>
  <si>
    <t>CENTRAL PARKING SYSTEM COLOMBIA S.A.S</t>
  </si>
  <si>
    <t>CARRENO HELMAN HUMBERTO</t>
  </si>
  <si>
    <t>CAMARGO GUZMAN DIANA VICENTA</t>
  </si>
  <si>
    <t>Selección abreviada de menor cuantía</t>
  </si>
  <si>
    <t>Prestaciòn de servicios de salud</t>
  </si>
  <si>
    <t>Grupo De Bienestar y Salud Ocupacional</t>
  </si>
  <si>
    <t>Contratar una institución prestadora de servicio de salud especializada en la realización de exámenes médicos ocupacionales de ingreso, egreso, periódicos y postincapacidad y de requerirse análisis de puesto de trabajo.</t>
  </si>
  <si>
    <t>85122201; 85101502; 85121801</t>
  </si>
  <si>
    <t>Valoración del estado de Salud individual</t>
  </si>
  <si>
    <t>A-02-02-02-009-003</t>
  </si>
  <si>
    <t>CO-116-2023</t>
  </si>
  <si>
    <t xml:space="preserve">Prestación de Servicios de Salud </t>
  </si>
  <si>
    <t>EVALUA SALUD IPS S.A.S</t>
  </si>
  <si>
    <t>42 CUMPLIM+ RESPONSAB EXTRACONTRACTUAL</t>
  </si>
  <si>
    <t>ROJAS BALLEN DIANA MARCELA</t>
  </si>
  <si>
    <t>20236231414000006E</t>
  </si>
  <si>
    <t>PCD-131-2023-30SYF</t>
  </si>
  <si>
    <t>Contratar el arriendo del parqueadero Yopal</t>
  </si>
  <si>
    <t>Arrendami ento de Instalacion es comerciale s o Industriale s</t>
  </si>
  <si>
    <t xml:space="preserve">EN TRAMITE </t>
  </si>
  <si>
    <t>20236231410000028E</t>
  </si>
  <si>
    <t>SUMINISTRO DE TINTAS, TONER Y CONSUMIBLES DE IMPRESION</t>
  </si>
  <si>
    <t>Suministros para impresora, fax y fotocopiadora</t>
  </si>
  <si>
    <t>20236231410000029E</t>
  </si>
  <si>
    <t>20236231410000030E</t>
  </si>
  <si>
    <t>20236231410000031E</t>
  </si>
  <si>
    <t>20236231410000032E</t>
  </si>
  <si>
    <t>20236231410000033E</t>
  </si>
  <si>
    <t>20236231409000002E</t>
  </si>
  <si>
    <t>CONTRATAR LA ADQUISICIÓN DE ELEMENTOS PARA PREVENCIÓN DE RIESGO ERGONÓMICO COJÍN LUMBAR DME</t>
  </si>
  <si>
    <t xml:space="preserve">Descansos de soporte para espalda </t>
  </si>
  <si>
    <t>MAYO</t>
  </si>
  <si>
    <t> 86223</t>
  </si>
  <si>
    <t>ACONCHA DE LA ROSA ANGY LIZETH</t>
  </si>
  <si>
    <t>PUERTO CARREÑO</t>
  </si>
  <si>
    <t>ORINOQUIA</t>
  </si>
  <si>
    <t xml:space="preserve">ASECOLBAS LTDA </t>
  </si>
  <si>
    <t>GUANARE GARCIA PAMELA ANDREA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</si>
</sst>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1" formatCode="_-* #,##0_-;\-* #,##0_-;_-* &quot;-&quot;_-;_-@_-"/>
    <numFmt numFmtId="164" formatCode="_-&quot;$&quot;* #,##0.00_-;\-&quot;$&quot;* #,##0.00_-;_-&quot;$&quot;* &quot;-&quot;??_-;_-@_-"/>
    <numFmt numFmtId="165" formatCode="yyyy/mm/dd"/>
    <numFmt numFmtId="166" formatCode="_(* #,##0.00_);_(* \(#,##0.00\);_(* &quot;-&quot;??_);_(@_)"/>
    <numFmt numFmtId="167" formatCode="_(&quot;$&quot;* #,##0.00_);_(&quot;$&quot;* \(#,##0.00\);_(&quot;$&quot;* &quot;-&quot;??_);_(@_)"/>
    <numFmt numFmtId="168" formatCode="_-&quot;$&quot;\ * #,##0.00_-;\-&quot;$&quot;\ * #,##0.00_-;_-&quot;$&quot;\ * &quot;-&quot;_-;_-@_-"/>
    <numFmt numFmtId="169" formatCode="#,###\ &quot;COP&quot;"/>
  </numFmts>
  <fonts count="13" x14ac:knownFonts="1">
    <font>
      <sz val="11"/>
      <color theme="1"/>
      <name val="Calibri"/>
      <family val="2"/>
      <scheme val="minor"/>
    </font>
    <font>
      <sz val="11"/>
      <color theme="1"/>
      <name val="Calibri"/>
      <family val="2"/>
      <scheme val="minor"/>
    </font>
    <font>
      <sz val="11"/>
      <color theme="1" tint="0.14999847407452621"/>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0"/>
      <name val="Arial Narrow"/>
      <family val="2"/>
    </font>
    <font>
      <sz val="10"/>
      <color rgb="FFFF0000"/>
      <name val="Arial Narrow"/>
      <family val="2"/>
    </font>
    <font>
      <sz val="10"/>
      <color theme="1"/>
      <name val="Arial Narrow"/>
      <family val="2"/>
    </font>
    <font>
      <sz val="9"/>
      <color rgb="FF000000"/>
      <name val="Arial"/>
      <family val="2"/>
    </font>
    <font>
      <sz val="11"/>
      <color theme="0"/>
      <name val="Calibri"/>
      <family val="2"/>
      <scheme val="minor"/>
    </font>
    <font>
      <sz val="11"/>
      <color theme="1"/>
      <name val="Calibri"/>
      <scheme val="minor"/>
    </font>
    <font>
      <sz val="10"/>
      <color theme="1"/>
      <name val="Arial"/>
      <family val="2"/>
    </font>
  </fonts>
  <fills count="17">
    <fill>
      <patternFill patternType="none"/>
    </fill>
    <fill>
      <patternFill patternType="gray125"/>
    </fill>
    <fill>
      <patternFill patternType="solid">
        <fgColor theme="0"/>
        <bgColor indexed="64"/>
      </patternFill>
    </fill>
    <fill>
      <patternFill patternType="solid">
        <fgColor indexed="9"/>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FF"/>
        <bgColor rgb="FF000000"/>
      </patternFill>
    </fill>
    <fill>
      <patternFill patternType="solid">
        <fgColor rgb="FFFFFFFF"/>
      </patternFill>
    </fill>
    <fill>
      <patternFill patternType="solid">
        <fgColor rgb="FFFFFFFF"/>
        <bgColor theme="4" tint="0.79998168889431442"/>
      </patternFill>
    </fill>
    <fill>
      <patternFill patternType="solid">
        <fgColor rgb="FFFFFFFF"/>
        <bgColor theme="8" tint="0.79998168889431442"/>
      </patternFill>
    </fill>
    <fill>
      <patternFill patternType="solid">
        <fgColor rgb="FFFFFF00"/>
        <bgColor indexed="64"/>
      </patternFill>
    </fill>
    <fill>
      <patternFill patternType="solid">
        <fgColor theme="0"/>
        <bgColor theme="4" tint="0.79998168889431442"/>
      </patternFill>
    </fill>
    <fill>
      <patternFill patternType="solid">
        <fgColor theme="7" tint="0.79998168889431442"/>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theme="4" tint="0.39997558519241921"/>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theme="4" tint="0.39997558519241921"/>
      </bottom>
      <diagonal/>
    </border>
    <border>
      <left style="thin">
        <color theme="8"/>
      </left>
      <right style="thin">
        <color theme="8"/>
      </right>
      <top style="thin">
        <color theme="8"/>
      </top>
      <bottom style="thin">
        <color theme="8"/>
      </bottom>
      <diagonal/>
    </border>
    <border>
      <left style="thin">
        <color indexed="64"/>
      </left>
      <right style="thin">
        <color indexed="64"/>
      </right>
      <top style="thin">
        <color theme="4" tint="0.39997558519241921"/>
      </top>
      <bottom/>
      <diagonal/>
    </border>
    <border>
      <left/>
      <right style="thin">
        <color indexed="64"/>
      </right>
      <top style="thin">
        <color indexed="64"/>
      </top>
      <bottom/>
      <diagonal/>
    </border>
    <border>
      <left style="thin">
        <color theme="8"/>
      </left>
      <right style="thin">
        <color theme="8"/>
      </right>
      <top style="thin">
        <color theme="8"/>
      </top>
      <bottom/>
      <diagonal/>
    </border>
  </borders>
  <cellStyleXfs count="19">
    <xf numFmtId="0" fontId="0" fillId="0" borderId="0"/>
    <xf numFmtId="42" fontId="1" fillId="0" borderId="0" applyFont="0" applyFill="0" applyBorder="0" applyAlignment="0" applyProtection="0"/>
    <xf numFmtId="0" fontId="1" fillId="0" borderId="0"/>
    <xf numFmtId="0" fontId="1" fillId="0" borderId="0"/>
    <xf numFmtId="42"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5" fillId="0" borderId="0" applyNumberFormat="0" applyFill="0" applyBorder="0" applyAlignment="0" applyProtection="0"/>
    <xf numFmtId="0" fontId="1" fillId="0" borderId="0"/>
    <xf numFmtId="42" fontId="1" fillId="0" borderId="0" applyFont="0" applyFill="0" applyBorder="0" applyAlignment="0" applyProtection="0"/>
    <xf numFmtId="41" fontId="1" fillId="0" borderId="0" applyFont="0" applyFill="0" applyBorder="0" applyAlignment="0" applyProtection="0"/>
    <xf numFmtId="0" fontId="5" fillId="0" borderId="0" applyNumberFormat="0" applyFill="0" applyBorder="0" applyAlignment="0" applyProtection="0"/>
    <xf numFmtId="166" fontId="1" fillId="0" borderId="0" applyFont="0" applyFill="0" applyBorder="0" applyAlignment="0" applyProtection="0"/>
    <xf numFmtId="169" fontId="12" fillId="0" borderId="0" applyFont="0" applyFill="0" applyBorder="0" applyAlignment="0" applyProtection="0"/>
  </cellStyleXfs>
  <cellXfs count="346">
    <xf numFmtId="0" fontId="0" fillId="0" borderId="0" xfId="0"/>
    <xf numFmtId="0" fontId="0" fillId="2" borderId="1" xfId="0" applyFill="1" applyBorder="1" applyAlignment="1">
      <alignment horizontal="center"/>
    </xf>
    <xf numFmtId="42" fontId="0" fillId="2" borderId="1" xfId="0" applyNumberFormat="1" applyFill="1" applyBorder="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xf>
    <xf numFmtId="0" fontId="0" fillId="0" borderId="0" xfId="0" pivotButton="1"/>
    <xf numFmtId="0" fontId="0" fillId="0" borderId="0" xfId="0" applyAlignment="1">
      <alignment horizontal="left"/>
    </xf>
    <xf numFmtId="0" fontId="0" fillId="2" borderId="2" xfId="0" applyFill="1" applyBorder="1" applyAlignment="1">
      <alignment horizontal="center" wrapText="1"/>
    </xf>
    <xf numFmtId="42"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1" fontId="0" fillId="2" borderId="1" xfId="0" applyNumberFormat="1" applyFill="1" applyBorder="1" applyAlignment="1">
      <alignment horizontal="center" wrapText="1"/>
    </xf>
    <xf numFmtId="42" fontId="0" fillId="2" borderId="1" xfId="1" applyFont="1" applyFill="1" applyBorder="1" applyAlignment="1">
      <alignment horizontal="center" wrapText="1"/>
    </xf>
    <xf numFmtId="0" fontId="0" fillId="2" borderId="3" xfId="0" applyFill="1" applyBorder="1" applyAlignment="1">
      <alignment horizontal="center" wrapText="1"/>
    </xf>
    <xf numFmtId="0" fontId="0" fillId="2" borderId="7" xfId="0" applyFill="1" applyBorder="1" applyAlignment="1">
      <alignment horizontal="center" wrapText="1"/>
    </xf>
    <xf numFmtId="0" fontId="0" fillId="2" borderId="4" xfId="0" applyFill="1" applyBorder="1" applyAlignment="1">
      <alignment horizontal="center"/>
    </xf>
    <xf numFmtId="0" fontId="0" fillId="0" borderId="1" xfId="0" applyBorder="1"/>
    <xf numFmtId="0" fontId="0" fillId="0" borderId="3" xfId="0" applyBorder="1"/>
    <xf numFmtId="0" fontId="0" fillId="0" borderId="6" xfId="0" applyBorder="1"/>
    <xf numFmtId="14" fontId="0" fillId="2" borderId="1" xfId="0" applyNumberFormat="1" applyFill="1" applyBorder="1" applyAlignment="1">
      <alignment horizontal="center"/>
    </xf>
    <xf numFmtId="0" fontId="0" fillId="0" borderId="5" xfId="0" applyBorder="1"/>
    <xf numFmtId="0" fontId="0" fillId="7" borderId="1" xfId="0" applyFill="1" applyBorder="1" applyAlignment="1">
      <alignment horizontal="center"/>
    </xf>
    <xf numFmtId="0" fontId="0" fillId="0" borderId="0" xfId="0" applyAlignment="1">
      <alignment horizontal="center"/>
    </xf>
    <xf numFmtId="0" fontId="0" fillId="7" borderId="0" xfId="0" applyFill="1" applyAlignment="1">
      <alignment horizontal="center"/>
    </xf>
    <xf numFmtId="165" fontId="0" fillId="2" borderId="1" xfId="0" applyNumberFormat="1" applyFill="1" applyBorder="1" applyAlignment="1" applyProtection="1">
      <alignment horizontal="center" vertical="center" wrapText="1"/>
      <protection locked="0"/>
    </xf>
    <xf numFmtId="165" fontId="0" fillId="2" borderId="1" xfId="0" applyNumberFormat="1" applyFill="1" applyBorder="1" applyAlignment="1" applyProtection="1">
      <alignment horizontal="center" vertical="center"/>
      <protection locked="0"/>
    </xf>
    <xf numFmtId="0" fontId="3" fillId="2" borderId="1" xfId="0" applyFont="1" applyFill="1" applyBorder="1" applyAlignment="1">
      <alignment horizontal="center"/>
    </xf>
    <xf numFmtId="0" fontId="2" fillId="6" borderId="4" xfId="13" applyFont="1" applyFill="1" applyBorder="1" applyAlignment="1">
      <alignment horizontal="center" vertical="center" wrapText="1"/>
    </xf>
    <xf numFmtId="0" fontId="2" fillId="4" borderId="4" xfId="13" applyFont="1" applyFill="1" applyBorder="1" applyAlignment="1">
      <alignment horizontal="center" vertical="center" wrapText="1"/>
    </xf>
    <xf numFmtId="0" fontId="2" fillId="4" borderId="5" xfId="13" applyFont="1" applyFill="1" applyBorder="1" applyAlignment="1">
      <alignment horizontal="center" vertical="center" wrapText="1"/>
    </xf>
    <xf numFmtId="42" fontId="2" fillId="4" borderId="5" xfId="13" applyNumberFormat="1" applyFont="1" applyFill="1" applyBorder="1" applyAlignment="1">
      <alignment horizontal="center" vertical="center" wrapText="1"/>
    </xf>
    <xf numFmtId="14" fontId="2" fillId="4" borderId="5" xfId="13" applyNumberFormat="1" applyFont="1" applyFill="1" applyBorder="1" applyAlignment="1">
      <alignment horizontal="center" vertical="center" wrapText="1"/>
    </xf>
    <xf numFmtId="0" fontId="2" fillId="5" borderId="5" xfId="13" applyFont="1" applyFill="1" applyBorder="1" applyAlignment="1">
      <alignment horizontal="center" vertical="center" wrapText="1"/>
    </xf>
    <xf numFmtId="42" fontId="2" fillId="4" borderId="5" xfId="14" applyFont="1" applyFill="1" applyBorder="1" applyAlignment="1">
      <alignment horizontal="center" vertical="center" wrapText="1"/>
    </xf>
    <xf numFmtId="14" fontId="2" fillId="4" borderId="8" xfId="13" applyNumberFormat="1" applyFont="1" applyFill="1" applyBorder="1" applyAlignment="1">
      <alignment horizontal="center" vertical="center" wrapText="1"/>
    </xf>
    <xf numFmtId="0" fontId="2" fillId="4" borderId="6" xfId="13" applyFont="1" applyFill="1" applyBorder="1" applyAlignment="1">
      <alignment horizontal="center" vertical="center" wrapText="1"/>
    </xf>
    <xf numFmtId="0" fontId="2" fillId="0" borderId="0" xfId="13" applyFont="1" applyAlignment="1">
      <alignment horizontal="center" vertical="center" wrapText="1"/>
    </xf>
    <xf numFmtId="0" fontId="1" fillId="8" borderId="4" xfId="13" applyFill="1" applyBorder="1" applyAlignment="1">
      <alignment horizontal="center"/>
    </xf>
    <xf numFmtId="0" fontId="1" fillId="8" borderId="2" xfId="13" applyFill="1" applyBorder="1" applyAlignment="1">
      <alignment horizontal="center"/>
    </xf>
    <xf numFmtId="0" fontId="1" fillId="8" borderId="2" xfId="13" applyFill="1" applyBorder="1" applyAlignment="1">
      <alignment horizontal="center" wrapText="1"/>
    </xf>
    <xf numFmtId="0" fontId="1" fillId="8" borderId="1" xfId="13" applyFill="1" applyBorder="1" applyAlignment="1">
      <alignment horizontal="center" wrapText="1"/>
    </xf>
    <xf numFmtId="165" fontId="1" fillId="10" borderId="1" xfId="13" applyNumberFormat="1" applyFill="1" applyBorder="1" applyAlignment="1" applyProtection="1">
      <alignment horizontal="center" vertical="center" wrapText="1"/>
      <protection locked="0"/>
    </xf>
    <xf numFmtId="42" fontId="1" fillId="8" borderId="1" xfId="13" applyNumberFormat="1" applyFill="1" applyBorder="1" applyAlignment="1">
      <alignment horizontal="center" wrapText="1"/>
    </xf>
    <xf numFmtId="0" fontId="1" fillId="8" borderId="1" xfId="13" applyFill="1" applyBorder="1" applyAlignment="1">
      <alignment horizontal="center"/>
    </xf>
    <xf numFmtId="14" fontId="1" fillId="8" borderId="1" xfId="13" applyNumberFormat="1" applyFill="1" applyBorder="1" applyAlignment="1">
      <alignment horizontal="center" wrapText="1"/>
    </xf>
    <xf numFmtId="1" fontId="1" fillId="8" borderId="1" xfId="13" applyNumberFormat="1" applyFill="1" applyBorder="1" applyAlignment="1">
      <alignment horizontal="center" wrapText="1"/>
    </xf>
    <xf numFmtId="42" fontId="0" fillId="8" borderId="1" xfId="14" applyFont="1" applyFill="1" applyBorder="1" applyAlignment="1">
      <alignment horizontal="center" wrapText="1"/>
    </xf>
    <xf numFmtId="0" fontId="1" fillId="8" borderId="3" xfId="13" applyFill="1" applyBorder="1" applyAlignment="1">
      <alignment horizontal="center" wrapText="1"/>
    </xf>
    <xf numFmtId="0" fontId="1" fillId="0" borderId="0" xfId="13" applyAlignment="1">
      <alignment horizontal="center" wrapText="1"/>
    </xf>
    <xf numFmtId="0" fontId="1" fillId="0" borderId="0" xfId="13" applyAlignment="1">
      <alignment horizontal="center"/>
    </xf>
    <xf numFmtId="165" fontId="1" fillId="10" borderId="1" xfId="13" applyNumberFormat="1" applyFill="1" applyBorder="1" applyAlignment="1" applyProtection="1">
      <alignment horizontal="center" vertical="center"/>
      <protection locked="0"/>
    </xf>
    <xf numFmtId="42" fontId="1" fillId="8" borderId="1" xfId="13" applyNumberFormat="1" applyFill="1" applyBorder="1" applyAlignment="1">
      <alignment horizontal="center"/>
    </xf>
    <xf numFmtId="0" fontId="1" fillId="8" borderId="1" xfId="13" applyFill="1" applyBorder="1" applyAlignment="1">
      <alignment horizontal="center" vertical="center"/>
    </xf>
    <xf numFmtId="1" fontId="1" fillId="8" borderId="1" xfId="13" applyNumberFormat="1" applyFill="1" applyBorder="1" applyAlignment="1">
      <alignment horizontal="center"/>
    </xf>
    <xf numFmtId="42" fontId="0" fillId="8" borderId="1" xfId="14" applyFont="1" applyFill="1" applyBorder="1" applyAlignment="1">
      <alignment horizontal="center"/>
    </xf>
    <xf numFmtId="0" fontId="1" fillId="8" borderId="3" xfId="13" applyFill="1" applyBorder="1" applyAlignment="1">
      <alignment horizontal="center"/>
    </xf>
    <xf numFmtId="14" fontId="1" fillId="8" borderId="1" xfId="13" applyNumberFormat="1" applyFill="1" applyBorder="1" applyAlignment="1">
      <alignment horizontal="center"/>
    </xf>
    <xf numFmtId="0" fontId="1" fillId="0" borderId="4" xfId="13" applyBorder="1" applyAlignment="1">
      <alignment horizontal="center"/>
    </xf>
    <xf numFmtId="0" fontId="1" fillId="0" borderId="2" xfId="13" applyBorder="1" applyAlignment="1">
      <alignment horizontal="center"/>
    </xf>
    <xf numFmtId="0" fontId="1" fillId="0" borderId="2" xfId="13" applyBorder="1" applyAlignment="1">
      <alignment horizontal="center" wrapText="1"/>
    </xf>
    <xf numFmtId="0" fontId="1" fillId="0" borderId="1" xfId="13" applyBorder="1" applyAlignment="1">
      <alignment horizontal="center" wrapText="1"/>
    </xf>
    <xf numFmtId="165" fontId="1" fillId="0" borderId="1" xfId="13" applyNumberFormat="1" applyBorder="1" applyAlignment="1" applyProtection="1">
      <alignment horizontal="center" vertical="center" wrapText="1"/>
      <protection locked="0"/>
    </xf>
    <xf numFmtId="42" fontId="1" fillId="0" borderId="1" xfId="13" applyNumberFormat="1" applyBorder="1" applyAlignment="1">
      <alignment horizontal="center" wrapText="1"/>
    </xf>
    <xf numFmtId="1" fontId="1" fillId="0" borderId="1" xfId="13" applyNumberFormat="1" applyBorder="1" applyAlignment="1">
      <alignment horizontal="center" wrapText="1"/>
    </xf>
    <xf numFmtId="42" fontId="0" fillId="0" borderId="1" xfId="14" applyFont="1" applyFill="1" applyBorder="1" applyAlignment="1">
      <alignment horizontal="center" wrapText="1"/>
    </xf>
    <xf numFmtId="0" fontId="1" fillId="0" borderId="3" xfId="13" applyBorder="1" applyAlignment="1">
      <alignment horizontal="center" wrapText="1"/>
    </xf>
    <xf numFmtId="14" fontId="1" fillId="0" borderId="1" xfId="13" applyNumberFormat="1" applyBorder="1" applyAlignment="1">
      <alignment horizontal="center" wrapText="1"/>
    </xf>
    <xf numFmtId="0" fontId="0" fillId="8" borderId="1" xfId="15" applyNumberFormat="1" applyFont="1" applyFill="1" applyBorder="1" applyAlignment="1">
      <alignment horizontal="center" wrapText="1"/>
    </xf>
    <xf numFmtId="0" fontId="1" fillId="8" borderId="7" xfId="13" applyFill="1" applyBorder="1" applyAlignment="1">
      <alignment horizontal="center" wrapText="1"/>
    </xf>
    <xf numFmtId="165" fontId="1" fillId="8" borderId="1" xfId="13" applyNumberFormat="1" applyFill="1" applyBorder="1" applyAlignment="1" applyProtection="1">
      <alignment horizontal="center" vertical="center" wrapText="1"/>
      <protection locked="0"/>
    </xf>
    <xf numFmtId="42" fontId="1" fillId="8" borderId="1" xfId="14" applyFont="1" applyFill="1" applyBorder="1" applyAlignment="1">
      <alignment horizontal="center" wrapText="1"/>
    </xf>
    <xf numFmtId="0" fontId="1" fillId="8" borderId="7" xfId="13" applyFill="1" applyBorder="1" applyAlignment="1">
      <alignment horizontal="center"/>
    </xf>
    <xf numFmtId="165" fontId="1" fillId="8" borderId="1" xfId="13" applyNumberFormat="1" applyFill="1" applyBorder="1" applyAlignment="1" applyProtection="1">
      <alignment horizontal="center" vertical="center"/>
      <protection locked="0"/>
    </xf>
    <xf numFmtId="0" fontId="1" fillId="8" borderId="1" xfId="13" applyFill="1" applyBorder="1" applyAlignment="1">
      <alignment horizontal="center" vertical="center" wrapText="1"/>
    </xf>
    <xf numFmtId="0" fontId="1" fillId="2" borderId="4" xfId="13" applyFill="1" applyBorder="1" applyAlignment="1">
      <alignment horizontal="center"/>
    </xf>
    <xf numFmtId="0" fontId="1" fillId="2" borderId="2" xfId="13" applyFill="1" applyBorder="1" applyAlignment="1">
      <alignment horizontal="center"/>
    </xf>
    <xf numFmtId="0" fontId="1" fillId="2" borderId="2" xfId="13" applyFill="1" applyBorder="1" applyAlignment="1">
      <alignment horizontal="center" wrapText="1"/>
    </xf>
    <xf numFmtId="0" fontId="1" fillId="2" borderId="1" xfId="13" applyFill="1" applyBorder="1" applyAlignment="1">
      <alignment horizontal="center" wrapText="1"/>
    </xf>
    <xf numFmtId="0" fontId="1" fillId="2" borderId="7" xfId="13" applyFill="1" applyBorder="1" applyAlignment="1">
      <alignment horizontal="center" wrapText="1"/>
    </xf>
    <xf numFmtId="165" fontId="1" fillId="2" borderId="1" xfId="13" applyNumberFormat="1" applyFill="1" applyBorder="1" applyAlignment="1" applyProtection="1">
      <alignment horizontal="center" vertical="center" wrapText="1"/>
      <protection locked="0"/>
    </xf>
    <xf numFmtId="0" fontId="1" fillId="2" borderId="1" xfId="13" applyFill="1" applyBorder="1" applyAlignment="1">
      <alignment horizontal="center"/>
    </xf>
    <xf numFmtId="42" fontId="1" fillId="2" borderId="1" xfId="13" applyNumberFormat="1" applyFill="1" applyBorder="1" applyAlignment="1">
      <alignment horizontal="center" wrapText="1"/>
    </xf>
    <xf numFmtId="0" fontId="1" fillId="2" borderId="1" xfId="13" applyFill="1" applyBorder="1" applyAlignment="1">
      <alignment horizontal="center" vertical="center" wrapText="1"/>
    </xf>
    <xf numFmtId="1" fontId="1" fillId="2" borderId="1" xfId="13" applyNumberFormat="1" applyFill="1" applyBorder="1" applyAlignment="1">
      <alignment horizontal="center" wrapText="1"/>
    </xf>
    <xf numFmtId="14" fontId="1" fillId="2" borderId="1" xfId="13" applyNumberFormat="1" applyFill="1" applyBorder="1" applyAlignment="1">
      <alignment horizontal="center" wrapText="1"/>
    </xf>
    <xf numFmtId="0" fontId="1" fillId="2" borderId="3" xfId="13" applyFill="1" applyBorder="1" applyAlignment="1">
      <alignment horizontal="center" wrapText="1"/>
    </xf>
    <xf numFmtId="0" fontId="1" fillId="2" borderId="0" xfId="13" applyFill="1" applyAlignment="1">
      <alignment horizontal="center" wrapText="1"/>
    </xf>
    <xf numFmtId="0" fontId="3" fillId="8" borderId="1" xfId="13" applyFont="1" applyFill="1" applyBorder="1" applyAlignment="1">
      <alignment horizontal="center" wrapText="1"/>
    </xf>
    <xf numFmtId="42" fontId="1" fillId="8" borderId="7" xfId="13" applyNumberFormat="1" applyFill="1" applyBorder="1" applyAlignment="1">
      <alignment horizontal="center"/>
    </xf>
    <xf numFmtId="1" fontId="1" fillId="8" borderId="7" xfId="13" applyNumberFormat="1" applyFill="1" applyBorder="1" applyAlignment="1">
      <alignment horizontal="center"/>
    </xf>
    <xf numFmtId="14" fontId="1" fillId="8" borderId="7" xfId="13" applyNumberFormat="1" applyFill="1" applyBorder="1" applyAlignment="1">
      <alignment horizontal="center"/>
    </xf>
    <xf numFmtId="42" fontId="1" fillId="8" borderId="7" xfId="14" applyFont="1" applyFill="1" applyBorder="1" applyAlignment="1">
      <alignment horizontal="center"/>
    </xf>
    <xf numFmtId="0" fontId="1" fillId="8" borderId="10" xfId="13" applyFill="1" applyBorder="1" applyAlignment="1">
      <alignment horizontal="center"/>
    </xf>
    <xf numFmtId="42" fontId="1" fillId="8" borderId="1" xfId="13" applyNumberFormat="1" applyFill="1" applyBorder="1" applyAlignment="1">
      <alignment horizontal="center" vertical="center"/>
    </xf>
    <xf numFmtId="0" fontId="1" fillId="0" borderId="4" xfId="13" applyBorder="1" applyAlignment="1">
      <alignment horizontal="center" wrapText="1"/>
    </xf>
    <xf numFmtId="0" fontId="1" fillId="0" borderId="5" xfId="13" applyBorder="1" applyAlignment="1">
      <alignment horizontal="center"/>
    </xf>
    <xf numFmtId="0" fontId="1" fillId="0" borderId="5" xfId="13" applyBorder="1" applyAlignment="1">
      <alignment horizontal="center" wrapText="1"/>
    </xf>
    <xf numFmtId="0" fontId="1" fillId="0" borderId="8" xfId="13" applyBorder="1" applyAlignment="1">
      <alignment horizontal="center"/>
    </xf>
    <xf numFmtId="14" fontId="1" fillId="0" borderId="5" xfId="13" applyNumberFormat="1" applyBorder="1" applyAlignment="1">
      <alignment horizontal="center"/>
    </xf>
    <xf numFmtId="165" fontId="1" fillId="0" borderId="5" xfId="13" applyNumberFormat="1" applyBorder="1" applyAlignment="1" applyProtection="1">
      <alignment horizontal="center" vertical="center"/>
      <protection locked="0"/>
    </xf>
    <xf numFmtId="0" fontId="1" fillId="0" borderId="8" xfId="13" applyBorder="1" applyAlignment="1">
      <alignment horizontal="center" wrapText="1"/>
    </xf>
    <xf numFmtId="42" fontId="1" fillId="0" borderId="5" xfId="13" applyNumberFormat="1" applyBorder="1" applyAlignment="1">
      <alignment horizontal="center"/>
    </xf>
    <xf numFmtId="165" fontId="1" fillId="3" borderId="5" xfId="13" applyNumberFormat="1" applyFill="1" applyBorder="1" applyAlignment="1" applyProtection="1">
      <alignment horizontal="center" vertical="center" wrapText="1"/>
      <protection locked="0"/>
    </xf>
    <xf numFmtId="0" fontId="1" fillId="0" borderId="5" xfId="13" applyBorder="1" applyAlignment="1">
      <alignment horizontal="center" vertical="center"/>
    </xf>
    <xf numFmtId="14" fontId="1" fillId="0" borderId="5" xfId="13" applyNumberFormat="1" applyBorder="1" applyAlignment="1">
      <alignment horizontal="center" wrapText="1"/>
    </xf>
    <xf numFmtId="1" fontId="1" fillId="0" borderId="5" xfId="13" applyNumberFormat="1" applyBorder="1" applyAlignment="1">
      <alignment horizontal="center"/>
    </xf>
    <xf numFmtId="165" fontId="1" fillId="0" borderId="5" xfId="13" applyNumberFormat="1" applyBorder="1" applyAlignment="1" applyProtection="1">
      <alignment horizontal="center" vertical="center" wrapText="1"/>
      <protection locked="0"/>
    </xf>
    <xf numFmtId="42" fontId="0" fillId="0" borderId="5" xfId="14" applyFont="1" applyFill="1" applyBorder="1" applyAlignment="1">
      <alignment horizontal="center"/>
    </xf>
    <xf numFmtId="42" fontId="1" fillId="0" borderId="5" xfId="13" applyNumberFormat="1" applyBorder="1" applyAlignment="1">
      <alignment horizontal="center" vertical="center"/>
    </xf>
    <xf numFmtId="42" fontId="1" fillId="0" borderId="5" xfId="13" applyNumberFormat="1" applyBorder="1" applyAlignment="1">
      <alignment horizontal="center" wrapText="1"/>
    </xf>
    <xf numFmtId="0" fontId="1" fillId="0" borderId="6" xfId="13" applyBorder="1" applyAlignment="1">
      <alignment horizontal="center"/>
    </xf>
    <xf numFmtId="0" fontId="1" fillId="0" borderId="1" xfId="13" applyBorder="1" applyAlignment="1">
      <alignment horizontal="center"/>
    </xf>
    <xf numFmtId="0" fontId="1" fillId="0" borderId="7" xfId="13" applyBorder="1" applyAlignment="1">
      <alignment horizontal="center"/>
    </xf>
    <xf numFmtId="14" fontId="1" fillId="0" borderId="1" xfId="13" applyNumberFormat="1" applyBorder="1" applyAlignment="1">
      <alignment horizontal="center"/>
    </xf>
    <xf numFmtId="165" fontId="1" fillId="0" borderId="1" xfId="13" applyNumberFormat="1" applyBorder="1" applyAlignment="1" applyProtection="1">
      <alignment horizontal="center" vertical="center"/>
      <protection locked="0"/>
    </xf>
    <xf numFmtId="0" fontId="1" fillId="0" borderId="7" xfId="13" applyBorder="1" applyAlignment="1">
      <alignment horizontal="center" wrapText="1"/>
    </xf>
    <xf numFmtId="42" fontId="1" fillId="0" borderId="1" xfId="13" applyNumberFormat="1" applyBorder="1" applyAlignment="1">
      <alignment horizontal="center"/>
    </xf>
    <xf numFmtId="165" fontId="1" fillId="3" borderId="1" xfId="13" applyNumberFormat="1" applyFill="1" applyBorder="1" applyAlignment="1" applyProtection="1">
      <alignment horizontal="center" vertical="center" wrapText="1"/>
      <protection locked="0"/>
    </xf>
    <xf numFmtId="0" fontId="1" fillId="0" borderId="1" xfId="13" applyBorder="1" applyAlignment="1">
      <alignment horizontal="center" vertical="center"/>
    </xf>
    <xf numFmtId="1" fontId="1" fillId="0" borderId="1" xfId="13" applyNumberFormat="1" applyBorder="1" applyAlignment="1">
      <alignment horizontal="center"/>
    </xf>
    <xf numFmtId="42" fontId="0" fillId="0" borderId="1" xfId="14" applyFont="1" applyFill="1" applyBorder="1" applyAlignment="1">
      <alignment horizontal="center"/>
    </xf>
    <xf numFmtId="42" fontId="1" fillId="0" borderId="1" xfId="13" applyNumberFormat="1" applyBorder="1" applyAlignment="1">
      <alignment horizontal="center" vertical="center"/>
    </xf>
    <xf numFmtId="0" fontId="1" fillId="0" borderId="3" xfId="13" applyBorder="1" applyAlignment="1">
      <alignment horizontal="center"/>
    </xf>
    <xf numFmtId="42" fontId="1" fillId="8" borderId="1" xfId="14" applyFont="1" applyFill="1" applyBorder="1" applyAlignment="1">
      <alignment horizontal="center"/>
    </xf>
    <xf numFmtId="0" fontId="3" fillId="8" borderId="4" xfId="13" applyFont="1" applyFill="1" applyBorder="1" applyAlignment="1">
      <alignment horizontal="center"/>
    </xf>
    <xf numFmtId="0" fontId="3" fillId="8" borderId="2" xfId="13" applyFont="1" applyFill="1" applyBorder="1" applyAlignment="1">
      <alignment horizontal="center"/>
    </xf>
    <xf numFmtId="0" fontId="3" fillId="8" borderId="1" xfId="13" applyFont="1" applyFill="1" applyBorder="1" applyAlignment="1">
      <alignment horizontal="center"/>
    </xf>
    <xf numFmtId="0" fontId="3" fillId="8" borderId="1" xfId="16" applyFont="1" applyFill="1" applyBorder="1" applyAlignment="1">
      <alignment horizontal="center"/>
    </xf>
    <xf numFmtId="42" fontId="3" fillId="8" borderId="1" xfId="13" applyNumberFormat="1" applyFont="1" applyFill="1" applyBorder="1" applyAlignment="1">
      <alignment horizontal="center"/>
    </xf>
    <xf numFmtId="14" fontId="3" fillId="8" borderId="1" xfId="13" applyNumberFormat="1" applyFont="1" applyFill="1" applyBorder="1" applyAlignment="1">
      <alignment horizontal="center" wrapText="1"/>
    </xf>
    <xf numFmtId="167" fontId="3" fillId="8" borderId="1" xfId="13" applyNumberFormat="1" applyFont="1" applyFill="1" applyBorder="1" applyAlignment="1">
      <alignment horizontal="center"/>
    </xf>
    <xf numFmtId="42" fontId="1" fillId="0" borderId="1" xfId="14" applyFont="1" applyFill="1" applyBorder="1" applyAlignment="1">
      <alignment horizontal="center"/>
    </xf>
    <xf numFmtId="168" fontId="3" fillId="8" borderId="1" xfId="13" applyNumberFormat="1" applyFont="1" applyFill="1" applyBorder="1" applyAlignment="1">
      <alignment horizontal="center"/>
    </xf>
    <xf numFmtId="0" fontId="6" fillId="8" borderId="1" xfId="13" applyFont="1" applyFill="1" applyBorder="1" applyAlignment="1">
      <alignment horizontal="center"/>
    </xf>
    <xf numFmtId="0" fontId="8" fillId="8" borderId="1" xfId="13" applyFont="1" applyFill="1" applyBorder="1" applyAlignment="1">
      <alignment horizontal="center"/>
    </xf>
    <xf numFmtId="0" fontId="8" fillId="8" borderId="1" xfId="13" applyFont="1" applyFill="1" applyBorder="1" applyAlignment="1">
      <alignment horizontal="center" wrapText="1"/>
    </xf>
    <xf numFmtId="42" fontId="1" fillId="8" borderId="1" xfId="13" applyNumberFormat="1" applyFill="1" applyBorder="1" applyAlignment="1">
      <alignment horizontal="center" vertical="top" wrapText="1"/>
    </xf>
    <xf numFmtId="0" fontId="3" fillId="8" borderId="3" xfId="13" applyFont="1" applyFill="1" applyBorder="1" applyAlignment="1">
      <alignment horizontal="center"/>
    </xf>
    <xf numFmtId="0" fontId="8" fillId="8" borderId="7" xfId="13" applyFont="1" applyFill="1" applyBorder="1" applyAlignment="1">
      <alignment horizontal="center"/>
    </xf>
    <xf numFmtId="14" fontId="1" fillId="8" borderId="3" xfId="13" applyNumberFormat="1" applyFill="1" applyBorder="1" applyAlignment="1">
      <alignment horizontal="center" wrapText="1"/>
    </xf>
    <xf numFmtId="42" fontId="1" fillId="8" borderId="7" xfId="13" applyNumberFormat="1" applyFill="1" applyBorder="1" applyAlignment="1">
      <alignment horizontal="center" wrapText="1"/>
    </xf>
    <xf numFmtId="1" fontId="1" fillId="8" borderId="7" xfId="13" applyNumberFormat="1" applyFill="1" applyBorder="1" applyAlignment="1">
      <alignment horizontal="center" wrapText="1"/>
    </xf>
    <xf numFmtId="168" fontId="3" fillId="8" borderId="7" xfId="13" applyNumberFormat="1" applyFont="1" applyFill="1" applyBorder="1" applyAlignment="1">
      <alignment horizontal="center"/>
    </xf>
    <xf numFmtId="0" fontId="3" fillId="8" borderId="7" xfId="16" applyFont="1" applyFill="1" applyBorder="1" applyAlignment="1">
      <alignment horizontal="center"/>
    </xf>
    <xf numFmtId="0" fontId="6" fillId="8" borderId="7" xfId="13" applyFont="1" applyFill="1" applyBorder="1" applyAlignment="1">
      <alignment horizontal="center"/>
    </xf>
    <xf numFmtId="14" fontId="1" fillId="8" borderId="7" xfId="13" applyNumberFormat="1" applyFill="1" applyBorder="1" applyAlignment="1">
      <alignment horizontal="center" wrapText="1"/>
    </xf>
    <xf numFmtId="42" fontId="0" fillId="8" borderId="7" xfId="14" applyFont="1" applyFill="1" applyBorder="1" applyAlignment="1">
      <alignment horizontal="center" wrapText="1"/>
    </xf>
    <xf numFmtId="0" fontId="3" fillId="8" borderId="7" xfId="13" applyFont="1" applyFill="1" applyBorder="1" applyAlignment="1">
      <alignment horizontal="center"/>
    </xf>
    <xf numFmtId="42" fontId="3" fillId="8" borderId="7" xfId="13" applyNumberFormat="1" applyFont="1" applyFill="1" applyBorder="1" applyAlignment="1">
      <alignment horizontal="center"/>
    </xf>
    <xf numFmtId="0" fontId="1" fillId="8" borderId="10" xfId="13" applyFill="1" applyBorder="1" applyAlignment="1">
      <alignment horizontal="center" wrapText="1"/>
    </xf>
    <xf numFmtId="42" fontId="0" fillId="8" borderId="7" xfId="14" applyFont="1" applyFill="1" applyBorder="1" applyAlignment="1">
      <alignment horizontal="center"/>
    </xf>
    <xf numFmtId="14" fontId="1" fillId="8" borderId="3" xfId="13" applyNumberFormat="1" applyFill="1" applyBorder="1" applyAlignment="1">
      <alignment horizontal="center"/>
    </xf>
    <xf numFmtId="14" fontId="1" fillId="2" borderId="1" xfId="13" applyNumberFormat="1" applyFill="1" applyBorder="1" applyAlignment="1">
      <alignment horizontal="center"/>
    </xf>
    <xf numFmtId="42" fontId="1" fillId="2" borderId="1" xfId="13" applyNumberFormat="1" applyFill="1" applyBorder="1" applyAlignment="1">
      <alignment horizontal="center"/>
    </xf>
    <xf numFmtId="42" fontId="0" fillId="2" borderId="1" xfId="14" applyFont="1" applyFill="1" applyBorder="1" applyAlignment="1">
      <alignment horizontal="center"/>
    </xf>
    <xf numFmtId="14" fontId="8" fillId="8" borderId="1" xfId="13" applyNumberFormat="1" applyFont="1" applyFill="1" applyBorder="1" applyAlignment="1">
      <alignment horizontal="center"/>
    </xf>
    <xf numFmtId="14" fontId="1" fillId="0" borderId="7" xfId="13" applyNumberFormat="1" applyBorder="1" applyAlignment="1">
      <alignment horizontal="center"/>
    </xf>
    <xf numFmtId="42" fontId="1" fillId="0" borderId="7" xfId="13" applyNumberFormat="1" applyBorder="1" applyAlignment="1">
      <alignment horizontal="center"/>
    </xf>
    <xf numFmtId="42" fontId="1" fillId="0" borderId="7" xfId="13" applyNumberFormat="1" applyBorder="1" applyAlignment="1">
      <alignment horizontal="center" wrapText="1"/>
    </xf>
    <xf numFmtId="0" fontId="1" fillId="8" borderId="9" xfId="13" applyFill="1" applyBorder="1" applyAlignment="1">
      <alignment horizontal="center"/>
    </xf>
    <xf numFmtId="0" fontId="3" fillId="8" borderId="9" xfId="13" applyFont="1" applyFill="1" applyBorder="1" applyAlignment="1">
      <alignment horizontal="center"/>
    </xf>
    <xf numFmtId="1" fontId="3" fillId="8" borderId="1" xfId="13" applyNumberFormat="1" applyFont="1" applyFill="1" applyBorder="1" applyAlignment="1">
      <alignment horizontal="center"/>
    </xf>
    <xf numFmtId="0" fontId="1" fillId="2" borderId="9" xfId="13" applyFill="1" applyBorder="1" applyAlignment="1">
      <alignment horizontal="center"/>
    </xf>
    <xf numFmtId="165" fontId="1" fillId="2" borderId="1" xfId="13" applyNumberFormat="1" applyFill="1" applyBorder="1" applyAlignment="1" applyProtection="1">
      <alignment horizontal="center" vertical="center"/>
      <protection locked="0"/>
    </xf>
    <xf numFmtId="1" fontId="1" fillId="2" borderId="1" xfId="13" applyNumberFormat="1" applyFill="1" applyBorder="1" applyAlignment="1">
      <alignment horizontal="center"/>
    </xf>
    <xf numFmtId="42" fontId="0" fillId="2" borderId="1" xfId="14" applyFont="1" applyFill="1" applyBorder="1" applyAlignment="1">
      <alignment horizontal="center" wrapText="1"/>
    </xf>
    <xf numFmtId="0" fontId="1" fillId="8" borderId="0" xfId="13" applyFill="1" applyAlignment="1">
      <alignment horizontal="center" wrapText="1"/>
    </xf>
    <xf numFmtId="0" fontId="1" fillId="8" borderId="11" xfId="13" applyFill="1" applyBorder="1" applyAlignment="1">
      <alignment horizontal="center" wrapText="1"/>
    </xf>
    <xf numFmtId="14" fontId="1" fillId="8" borderId="0" xfId="13" applyNumberFormat="1" applyFill="1" applyAlignment="1">
      <alignment horizontal="center" wrapText="1"/>
    </xf>
    <xf numFmtId="0" fontId="3" fillId="11" borderId="1" xfId="13" applyFont="1" applyFill="1" applyBorder="1" applyAlignment="1">
      <alignment horizontal="center"/>
    </xf>
    <xf numFmtId="0" fontId="1" fillId="2" borderId="7" xfId="13" applyFill="1" applyBorder="1" applyAlignment="1">
      <alignment horizontal="center"/>
    </xf>
    <xf numFmtId="0" fontId="1" fillId="2" borderId="1" xfId="13" applyFill="1" applyBorder="1" applyAlignment="1">
      <alignment horizontal="center" vertical="center"/>
    </xf>
    <xf numFmtId="14" fontId="1" fillId="12" borderId="1" xfId="13" applyNumberFormat="1" applyFill="1" applyBorder="1" applyAlignment="1">
      <alignment horizontal="center" wrapText="1"/>
    </xf>
    <xf numFmtId="0" fontId="7" fillId="8" borderId="1" xfId="13" applyFont="1" applyFill="1" applyBorder="1" applyAlignment="1">
      <alignment horizontal="center"/>
    </xf>
    <xf numFmtId="0" fontId="1" fillId="2" borderId="0" xfId="13" applyFill="1" applyAlignment="1">
      <alignment horizontal="center"/>
    </xf>
    <xf numFmtId="14" fontId="1" fillId="8" borderId="12" xfId="13" applyNumberFormat="1" applyFill="1" applyBorder="1" applyAlignment="1">
      <alignment horizontal="center"/>
    </xf>
    <xf numFmtId="166" fontId="7" fillId="8" borderId="1" xfId="17" applyFont="1" applyFill="1" applyBorder="1" applyAlignment="1">
      <alignment horizontal="center"/>
    </xf>
    <xf numFmtId="167" fontId="3" fillId="8" borderId="1" xfId="14" applyNumberFormat="1" applyFont="1" applyFill="1" applyBorder="1" applyAlignment="1">
      <alignment horizontal="center"/>
    </xf>
    <xf numFmtId="165" fontId="1" fillId="2" borderId="1" xfId="13" applyNumberFormat="1" applyFill="1" applyBorder="1" applyAlignment="1">
      <alignment horizontal="center" vertical="center"/>
    </xf>
    <xf numFmtId="42" fontId="1" fillId="2" borderId="1" xfId="13" applyNumberFormat="1" applyFill="1" applyBorder="1" applyAlignment="1">
      <alignment horizontal="center" vertical="center" wrapText="1"/>
    </xf>
    <xf numFmtId="14" fontId="1" fillId="2" borderId="1" xfId="13" applyNumberFormat="1" applyFill="1" applyBorder="1" applyAlignment="1">
      <alignment horizontal="center" vertical="center"/>
    </xf>
    <xf numFmtId="0" fontId="3" fillId="9" borderId="1" xfId="13" applyFont="1" applyFill="1" applyBorder="1" applyAlignment="1">
      <alignment horizontal="center"/>
    </xf>
    <xf numFmtId="0" fontId="3" fillId="9" borderId="4" xfId="13" applyFont="1" applyFill="1" applyBorder="1" applyAlignment="1">
      <alignment horizontal="center"/>
    </xf>
    <xf numFmtId="0" fontId="3" fillId="9" borderId="2" xfId="13" applyFont="1" applyFill="1" applyBorder="1" applyAlignment="1">
      <alignment horizontal="center"/>
    </xf>
    <xf numFmtId="14" fontId="1" fillId="8" borderId="12" xfId="13" applyNumberFormat="1" applyFill="1" applyBorder="1" applyAlignment="1">
      <alignment horizontal="center" wrapText="1"/>
    </xf>
    <xf numFmtId="0" fontId="1" fillId="2" borderId="9" xfId="13" applyFill="1" applyBorder="1" applyAlignment="1">
      <alignment horizontal="center" vertical="center"/>
    </xf>
    <xf numFmtId="0" fontId="1" fillId="2" borderId="2" xfId="13" applyFill="1" applyBorder="1" applyAlignment="1">
      <alignment horizontal="center" vertical="center"/>
    </xf>
    <xf numFmtId="14" fontId="1" fillId="2" borderId="12" xfId="13" applyNumberFormat="1" applyFill="1" applyBorder="1" applyAlignment="1">
      <alignment horizontal="center" vertical="center"/>
    </xf>
    <xf numFmtId="0" fontId="3" fillId="9" borderId="9" xfId="13" applyFont="1" applyFill="1" applyBorder="1" applyAlignment="1">
      <alignment horizontal="center"/>
    </xf>
    <xf numFmtId="0" fontId="3" fillId="2" borderId="1" xfId="13" applyFont="1" applyFill="1" applyBorder="1" applyAlignment="1">
      <alignment horizontal="center"/>
    </xf>
    <xf numFmtId="0" fontId="1" fillId="2" borderId="3" xfId="13" applyFill="1" applyBorder="1" applyAlignment="1">
      <alignment horizontal="center"/>
    </xf>
    <xf numFmtId="0" fontId="9" fillId="0" borderId="0" xfId="13" applyFont="1" applyAlignment="1">
      <alignment horizontal="center"/>
    </xf>
    <xf numFmtId="165" fontId="1" fillId="2" borderId="1" xfId="13" applyNumberFormat="1" applyFill="1" applyBorder="1" applyAlignment="1">
      <alignment horizontal="center" vertical="center" wrapText="1"/>
    </xf>
    <xf numFmtId="42" fontId="0" fillId="0" borderId="1" xfId="14" applyFont="1" applyBorder="1" applyAlignment="1">
      <alignment horizontal="center" wrapText="1"/>
    </xf>
    <xf numFmtId="42" fontId="1" fillId="0" borderId="0" xfId="13" applyNumberFormat="1" applyAlignment="1">
      <alignment horizontal="center" wrapText="1"/>
    </xf>
    <xf numFmtId="14" fontId="1" fillId="0" borderId="0" xfId="13" applyNumberFormat="1" applyAlignment="1">
      <alignment horizontal="center" wrapText="1"/>
    </xf>
    <xf numFmtId="42" fontId="0" fillId="0" borderId="0" xfId="14" applyFont="1" applyBorder="1" applyAlignment="1">
      <alignment horizontal="center" wrapText="1"/>
    </xf>
    <xf numFmtId="0" fontId="4" fillId="13" borderId="1" xfId="0" applyFont="1" applyFill="1" applyBorder="1" applyAlignment="1">
      <alignment horizontal="center" wrapText="1"/>
    </xf>
    <xf numFmtId="0" fontId="0" fillId="2" borderId="1" xfId="8" applyNumberFormat="1" applyFont="1" applyFill="1" applyBorder="1" applyAlignment="1">
      <alignment horizontal="center" wrapText="1"/>
    </xf>
    <xf numFmtId="14" fontId="4" fillId="2" borderId="1" xfId="0" applyNumberFormat="1" applyFont="1" applyFill="1" applyBorder="1" applyAlignment="1">
      <alignment horizontal="center" wrapText="1"/>
    </xf>
    <xf numFmtId="0" fontId="0" fillId="2" borderId="7" xfId="0" applyFill="1" applyBorder="1" applyAlignment="1">
      <alignment horizontal="center"/>
    </xf>
    <xf numFmtId="14" fontId="0" fillId="2" borderId="7" xfId="0" applyNumberFormat="1" applyFill="1" applyBorder="1" applyAlignment="1">
      <alignment horizontal="center"/>
    </xf>
    <xf numFmtId="42" fontId="0" fillId="2" borderId="7" xfId="0" applyNumberFormat="1" applyFill="1" applyBorder="1" applyAlignment="1">
      <alignment horizontal="center"/>
    </xf>
    <xf numFmtId="0" fontId="0" fillId="2" borderId="1" xfId="0" applyFill="1" applyBorder="1" applyAlignment="1">
      <alignment horizontal="center" vertical="center"/>
    </xf>
    <xf numFmtId="0" fontId="3" fillId="2" borderId="9" xfId="0" applyFont="1" applyFill="1" applyBorder="1" applyAlignment="1">
      <alignment horizontal="center"/>
    </xf>
    <xf numFmtId="0" fontId="3" fillId="2" borderId="2" xfId="0" applyFont="1" applyFill="1" applyBorder="1" applyAlignment="1">
      <alignment horizontal="center"/>
    </xf>
    <xf numFmtId="1" fontId="3" fillId="2" borderId="1" xfId="0" applyNumberFormat="1" applyFont="1" applyFill="1" applyBorder="1" applyAlignment="1">
      <alignment horizontal="center"/>
    </xf>
    <xf numFmtId="42" fontId="3" fillId="2" borderId="1" xfId="0" applyNumberFormat="1" applyFont="1" applyFill="1" applyBorder="1" applyAlignment="1">
      <alignment horizontal="center"/>
    </xf>
    <xf numFmtId="0" fontId="3" fillId="2" borderId="1" xfId="12" applyFont="1" applyFill="1" applyBorder="1" applyAlignment="1">
      <alignment horizontal="center"/>
    </xf>
    <xf numFmtId="0" fontId="3" fillId="14" borderId="1" xfId="0" applyFont="1" applyFill="1" applyBorder="1" applyAlignment="1">
      <alignment horizontal="center"/>
    </xf>
    <xf numFmtId="0" fontId="4" fillId="2" borderId="1" xfId="0" applyFont="1" applyFill="1" applyBorder="1" applyAlignment="1">
      <alignment horizontal="center"/>
    </xf>
    <xf numFmtId="0" fontId="1" fillId="15" borderId="1" xfId="13" applyFill="1" applyBorder="1" applyAlignment="1">
      <alignment horizontal="center"/>
    </xf>
    <xf numFmtId="0" fontId="3" fillId="15" borderId="1" xfId="13" applyFont="1" applyFill="1" applyBorder="1" applyAlignment="1">
      <alignment horizontal="center"/>
    </xf>
    <xf numFmtId="0" fontId="1" fillId="15" borderId="1" xfId="13" applyFill="1" applyBorder="1" applyAlignment="1">
      <alignment horizontal="center" wrapText="1"/>
    </xf>
    <xf numFmtId="0" fontId="1" fillId="15" borderId="1" xfId="13" applyFill="1" applyBorder="1" applyAlignment="1">
      <alignment horizontal="center" vertical="center"/>
    </xf>
    <xf numFmtId="14" fontId="1" fillId="15" borderId="1" xfId="13" applyNumberFormat="1" applyFill="1" applyBorder="1" applyAlignment="1">
      <alignment horizontal="center" wrapText="1"/>
    </xf>
    <xf numFmtId="42" fontId="1" fillId="15" borderId="1" xfId="13" applyNumberFormat="1" applyFill="1" applyBorder="1" applyAlignment="1">
      <alignment horizontal="center" wrapText="1"/>
    </xf>
    <xf numFmtId="42" fontId="1" fillId="15" borderId="1" xfId="13" applyNumberFormat="1" applyFill="1" applyBorder="1" applyAlignment="1">
      <alignment horizontal="center"/>
    </xf>
    <xf numFmtId="0" fontId="3" fillId="15" borderId="1" xfId="16" applyFont="1" applyFill="1" applyBorder="1" applyAlignment="1">
      <alignment horizontal="center"/>
    </xf>
    <xf numFmtId="165" fontId="1" fillId="15" borderId="1" xfId="13" applyNumberFormat="1" applyFill="1" applyBorder="1" applyAlignment="1">
      <alignment horizontal="center" vertical="center" wrapText="1"/>
    </xf>
    <xf numFmtId="0" fontId="0" fillId="15" borderId="1" xfId="13" applyFont="1" applyFill="1" applyBorder="1" applyAlignment="1">
      <alignment horizontal="center" vertical="center"/>
    </xf>
    <xf numFmtId="167" fontId="3" fillId="15" borderId="1" xfId="13" applyNumberFormat="1" applyFont="1" applyFill="1" applyBorder="1" applyAlignment="1">
      <alignment horizontal="center"/>
    </xf>
    <xf numFmtId="42" fontId="0" fillId="15" borderId="1" xfId="14" applyFont="1" applyFill="1" applyBorder="1" applyAlignment="1">
      <alignment horizontal="center" wrapText="1"/>
    </xf>
    <xf numFmtId="14" fontId="1" fillId="15" borderId="1" xfId="13" applyNumberFormat="1" applyFill="1" applyBorder="1" applyAlignment="1">
      <alignment horizontal="center"/>
    </xf>
    <xf numFmtId="0" fontId="1" fillId="15" borderId="2" xfId="13" applyFill="1" applyBorder="1" applyAlignment="1">
      <alignment horizontal="center" wrapText="1"/>
    </xf>
    <xf numFmtId="0" fontId="0" fillId="15" borderId="1" xfId="13" applyFont="1" applyFill="1" applyBorder="1" applyAlignment="1">
      <alignment horizontal="center" wrapText="1"/>
    </xf>
    <xf numFmtId="0" fontId="0" fillId="13" borderId="2" xfId="0" applyFill="1" applyBorder="1" applyAlignment="1">
      <alignment horizontal="center"/>
    </xf>
    <xf numFmtId="0" fontId="0" fillId="13" borderId="2" xfId="0" applyFill="1" applyBorder="1" applyAlignment="1">
      <alignment horizontal="center" wrapText="1"/>
    </xf>
    <xf numFmtId="0" fontId="0" fillId="13" borderId="1" xfId="0" applyFill="1" applyBorder="1" applyAlignment="1">
      <alignment horizontal="center"/>
    </xf>
    <xf numFmtId="0" fontId="0" fillId="13" borderId="1" xfId="0" applyFill="1" applyBorder="1" applyAlignment="1">
      <alignment horizontal="center" wrapText="1"/>
    </xf>
    <xf numFmtId="165" fontId="0" fillId="13" borderId="1" xfId="0" applyNumberFormat="1" applyFill="1" applyBorder="1" applyAlignment="1" applyProtection="1">
      <alignment horizontal="center" vertical="center"/>
      <protection locked="0"/>
    </xf>
    <xf numFmtId="42" fontId="0" fillId="13" borderId="1" xfId="0" applyNumberFormat="1" applyFill="1" applyBorder="1" applyAlignment="1">
      <alignment horizontal="center"/>
    </xf>
    <xf numFmtId="42" fontId="0" fillId="0" borderId="1" xfId="1" applyFont="1" applyFill="1" applyBorder="1" applyAlignment="1">
      <alignment horizontal="center"/>
    </xf>
    <xf numFmtId="14" fontId="0" fillId="13" borderId="1" xfId="0" applyNumberFormat="1" applyFill="1" applyBorder="1" applyAlignment="1">
      <alignment horizontal="center"/>
    </xf>
    <xf numFmtId="42" fontId="0" fillId="13" borderId="1" xfId="1" applyFont="1" applyFill="1" applyBorder="1" applyAlignment="1">
      <alignment horizontal="center"/>
    </xf>
    <xf numFmtId="0" fontId="0" fillId="13" borderId="3" xfId="0" applyFill="1" applyBorder="1" applyAlignment="1">
      <alignment horizontal="center"/>
    </xf>
    <xf numFmtId="42" fontId="1" fillId="0" borderId="1" xfId="1" applyFont="1" applyFill="1" applyBorder="1" applyAlignment="1">
      <alignment horizontal="center"/>
    </xf>
    <xf numFmtId="0" fontId="1" fillId="0" borderId="1" xfId="13" applyFill="1" applyBorder="1" applyAlignment="1">
      <alignment horizontal="center"/>
    </xf>
    <xf numFmtId="0" fontId="3" fillId="0" borderId="1" xfId="13" applyFont="1" applyFill="1" applyBorder="1" applyAlignment="1">
      <alignment horizontal="center"/>
    </xf>
    <xf numFmtId="0" fontId="1" fillId="0" borderId="1" xfId="13" applyFill="1" applyBorder="1" applyAlignment="1">
      <alignment horizontal="center" wrapText="1"/>
    </xf>
    <xf numFmtId="0" fontId="1" fillId="0" borderId="1" xfId="13" applyFill="1" applyBorder="1" applyAlignment="1">
      <alignment horizontal="center" vertical="center"/>
    </xf>
    <xf numFmtId="14" fontId="1" fillId="0" borderId="1" xfId="13" applyNumberFormat="1" applyFill="1" applyBorder="1" applyAlignment="1">
      <alignment horizontal="center" wrapText="1"/>
    </xf>
    <xf numFmtId="42" fontId="1" fillId="0" borderId="1" xfId="13" applyNumberFormat="1" applyFill="1" applyBorder="1" applyAlignment="1">
      <alignment horizontal="center" wrapText="1"/>
    </xf>
    <xf numFmtId="42" fontId="1" fillId="0" borderId="1" xfId="13" applyNumberFormat="1" applyFill="1" applyBorder="1" applyAlignment="1">
      <alignment horizontal="center"/>
    </xf>
    <xf numFmtId="0" fontId="3" fillId="0" borderId="1" xfId="16" applyFont="1" applyFill="1" applyBorder="1" applyAlignment="1">
      <alignment horizontal="center"/>
    </xf>
    <xf numFmtId="165" fontId="1" fillId="0" borderId="1" xfId="13" applyNumberFormat="1" applyFill="1" applyBorder="1" applyAlignment="1">
      <alignment horizontal="center" vertical="center" wrapText="1"/>
    </xf>
    <xf numFmtId="0" fontId="0" fillId="0" borderId="1" xfId="13" applyFont="1" applyFill="1" applyBorder="1" applyAlignment="1">
      <alignment horizontal="center" vertical="center"/>
    </xf>
    <xf numFmtId="167" fontId="3" fillId="0" borderId="1" xfId="13" applyNumberFormat="1" applyFont="1" applyFill="1" applyBorder="1" applyAlignment="1">
      <alignment horizontal="center"/>
    </xf>
    <xf numFmtId="14" fontId="1" fillId="0" borderId="1" xfId="13" applyNumberFormat="1" applyFill="1" applyBorder="1" applyAlignment="1">
      <alignment horizontal="center"/>
    </xf>
    <xf numFmtId="0" fontId="1" fillId="0" borderId="2" xfId="13" applyFill="1" applyBorder="1" applyAlignment="1">
      <alignment horizontal="center" wrapText="1"/>
    </xf>
    <xf numFmtId="0" fontId="0" fillId="0" borderId="1" xfId="13" applyFont="1" applyFill="1" applyBorder="1" applyAlignment="1">
      <alignment horizontal="center" wrapText="1"/>
    </xf>
    <xf numFmtId="0" fontId="0" fillId="0" borderId="1" xfId="13" applyFont="1" applyFill="1" applyBorder="1" applyAlignment="1">
      <alignment horizontal="center"/>
    </xf>
    <xf numFmtId="42" fontId="0" fillId="0" borderId="1" xfId="13" applyNumberFormat="1" applyFont="1" applyFill="1" applyBorder="1" applyAlignment="1">
      <alignment horizontal="center" wrapText="1"/>
    </xf>
    <xf numFmtId="0" fontId="1" fillId="0" borderId="0" xfId="13" applyFill="1" applyAlignment="1">
      <alignment horizontal="center" wrapText="1"/>
    </xf>
    <xf numFmtId="14" fontId="0" fillId="0" borderId="1" xfId="13" applyNumberFormat="1" applyFont="1" applyFill="1" applyBorder="1" applyAlignment="1">
      <alignment horizontal="center" wrapText="1"/>
    </xf>
    <xf numFmtId="1" fontId="0" fillId="0" borderId="1" xfId="13" applyNumberFormat="1" applyFont="1" applyFill="1" applyBorder="1" applyAlignment="1">
      <alignment horizontal="center" wrapText="1"/>
    </xf>
    <xf numFmtId="42" fontId="0" fillId="0" borderId="1" xfId="13" applyNumberFormat="1" applyFont="1" applyFill="1" applyBorder="1" applyAlignment="1">
      <alignment horizontal="center" vertical="center" wrapText="1"/>
    </xf>
    <xf numFmtId="42" fontId="3" fillId="0" borderId="1" xfId="13" applyNumberFormat="1" applyFont="1" applyFill="1" applyBorder="1" applyAlignment="1">
      <alignment horizontal="center"/>
    </xf>
    <xf numFmtId="0" fontId="0" fillId="0" borderId="4" xfId="0" applyFill="1" applyBorder="1" applyAlignment="1">
      <alignment horizontal="center"/>
    </xf>
    <xf numFmtId="0" fontId="0" fillId="0" borderId="2" xfId="0" applyFill="1" applyBorder="1" applyAlignment="1">
      <alignment horizontal="center"/>
    </xf>
    <xf numFmtId="0" fontId="0" fillId="0" borderId="2" xfId="0" applyFill="1"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horizontal="center" wrapText="1"/>
    </xf>
    <xf numFmtId="14" fontId="0" fillId="0" borderId="7" xfId="0" applyNumberFormat="1" applyFill="1" applyBorder="1" applyAlignment="1">
      <alignment horizontal="center"/>
    </xf>
    <xf numFmtId="165" fontId="0" fillId="0" borderId="1" xfId="0" applyNumberFormat="1" applyFill="1" applyBorder="1" applyAlignment="1" applyProtection="1">
      <alignment horizontal="center" vertical="center"/>
      <protection locked="0"/>
    </xf>
    <xf numFmtId="42" fontId="0" fillId="0" borderId="7" xfId="0" applyNumberFormat="1" applyFill="1" applyBorder="1" applyAlignment="1">
      <alignment horizontal="center" wrapText="1"/>
    </xf>
    <xf numFmtId="42" fontId="0" fillId="0" borderId="7" xfId="0" applyNumberFormat="1" applyFill="1" applyBorder="1" applyAlignment="1">
      <alignment horizontal="center"/>
    </xf>
    <xf numFmtId="42" fontId="0" fillId="0" borderId="1" xfId="0" applyNumberFormat="1" applyFill="1" applyBorder="1" applyAlignment="1">
      <alignment horizontal="center"/>
    </xf>
    <xf numFmtId="14" fontId="0" fillId="0" borderId="1" xfId="0" applyNumberFormat="1" applyFill="1" applyBorder="1" applyAlignment="1">
      <alignment horizontal="center"/>
    </xf>
    <xf numFmtId="1" fontId="0" fillId="0" borderId="1" xfId="0" applyNumberFormat="1" applyFill="1" applyBorder="1" applyAlignment="1">
      <alignment horizontal="center"/>
    </xf>
    <xf numFmtId="165" fontId="0" fillId="0" borderId="1" xfId="0" applyNumberFormat="1" applyFill="1" applyBorder="1" applyAlignment="1" applyProtection="1">
      <alignment horizontal="center" vertical="center" wrapText="1"/>
      <protection locked="0"/>
    </xf>
    <xf numFmtId="42" fontId="0" fillId="0" borderId="1" xfId="0" applyNumberFormat="1" applyFill="1" applyBorder="1" applyAlignment="1">
      <alignment horizontal="center" wrapText="1"/>
    </xf>
    <xf numFmtId="0" fontId="0" fillId="0" borderId="3" xfId="0" applyFill="1" applyBorder="1" applyAlignment="1">
      <alignment horizontal="center"/>
    </xf>
    <xf numFmtId="0" fontId="0" fillId="0" borderId="0" xfId="0" applyFill="1" applyAlignment="1">
      <alignment horizontal="center" wrapText="1"/>
    </xf>
    <xf numFmtId="1" fontId="0" fillId="0" borderId="1" xfId="0" applyNumberFormat="1" applyFill="1" applyBorder="1" applyAlignment="1">
      <alignment horizontal="center" wrapText="1"/>
    </xf>
    <xf numFmtId="0" fontId="0" fillId="0" borderId="3" xfId="0" applyFill="1" applyBorder="1" applyAlignment="1">
      <alignment horizontal="center" wrapText="1"/>
    </xf>
    <xf numFmtId="14" fontId="0" fillId="0" borderId="1" xfId="0" applyNumberFormat="1" applyFill="1" applyBorder="1" applyAlignment="1">
      <alignment horizontal="center" wrapText="1"/>
    </xf>
    <xf numFmtId="0" fontId="1" fillId="0" borderId="9" xfId="13" applyFill="1" applyBorder="1" applyAlignment="1">
      <alignment horizontal="center" vertical="center"/>
    </xf>
    <xf numFmtId="0" fontId="1" fillId="0" borderId="2" xfId="13" applyFill="1" applyBorder="1" applyAlignment="1">
      <alignment horizontal="center" vertical="center"/>
    </xf>
    <xf numFmtId="0" fontId="1" fillId="0" borderId="7" xfId="13" applyFill="1" applyBorder="1" applyAlignment="1">
      <alignment horizontal="center"/>
    </xf>
    <xf numFmtId="0" fontId="1" fillId="0" borderId="1" xfId="13" applyFill="1" applyBorder="1" applyAlignment="1">
      <alignment horizontal="center" vertical="center" wrapText="1"/>
    </xf>
    <xf numFmtId="165" fontId="1" fillId="0" borderId="1" xfId="13" applyNumberFormat="1" applyFill="1" applyBorder="1" applyAlignment="1">
      <alignment horizontal="center" vertical="center"/>
    </xf>
    <xf numFmtId="42" fontId="1" fillId="0" borderId="1" xfId="13" applyNumberFormat="1" applyFill="1" applyBorder="1" applyAlignment="1">
      <alignment horizontal="center" vertical="center" wrapText="1"/>
    </xf>
    <xf numFmtId="165" fontId="1" fillId="0" borderId="1" xfId="13" applyNumberFormat="1" applyFill="1" applyBorder="1" applyAlignment="1" applyProtection="1">
      <alignment horizontal="center" vertical="center" wrapText="1"/>
      <protection locked="0"/>
    </xf>
    <xf numFmtId="14" fontId="1" fillId="0" borderId="1" xfId="13" applyNumberFormat="1" applyFill="1" applyBorder="1" applyAlignment="1">
      <alignment horizontal="center" vertical="center"/>
    </xf>
    <xf numFmtId="165" fontId="1" fillId="16" borderId="1" xfId="13" applyNumberFormat="1" applyFill="1" applyBorder="1" applyAlignment="1" applyProtection="1">
      <alignment horizontal="center" vertical="center"/>
      <protection locked="0"/>
    </xf>
    <xf numFmtId="42" fontId="0" fillId="2" borderId="1" xfId="1" applyFont="1" applyFill="1" applyBorder="1" applyAlignment="1">
      <alignment horizontal="center"/>
    </xf>
    <xf numFmtId="0" fontId="0" fillId="2" borderId="3" xfId="0" applyFill="1" applyBorder="1" applyAlignment="1">
      <alignment horizontal="center"/>
    </xf>
    <xf numFmtId="0" fontId="0" fillId="2" borderId="0" xfId="0" applyFill="1" applyAlignment="1">
      <alignment horizontal="center" wrapText="1"/>
    </xf>
    <xf numFmtId="42" fontId="0" fillId="13" borderId="1" xfId="0" applyNumberFormat="1" applyFill="1" applyBorder="1" applyAlignment="1">
      <alignment horizontal="center" wrapText="1"/>
    </xf>
    <xf numFmtId="0" fontId="0" fillId="0" borderId="1" xfId="0" applyFill="1" applyBorder="1" applyAlignment="1">
      <alignment horizontal="center" vertical="center"/>
    </xf>
    <xf numFmtId="1" fontId="0" fillId="13" borderId="1" xfId="0" applyNumberFormat="1" applyFill="1" applyBorder="1" applyAlignment="1">
      <alignment horizontal="center"/>
    </xf>
    <xf numFmtId="0" fontId="3" fillId="0" borderId="1" xfId="0" applyFont="1" applyFill="1" applyBorder="1" applyAlignment="1">
      <alignment horizontal="center"/>
    </xf>
    <xf numFmtId="42" fontId="0" fillId="0" borderId="1" xfId="1" applyFont="1" applyFill="1" applyBorder="1" applyAlignment="1">
      <alignment horizontal="center" wrapText="1"/>
    </xf>
    <xf numFmtId="0" fontId="3" fillId="0" borderId="13" xfId="0" applyFont="1" applyFill="1" applyBorder="1" applyAlignment="1">
      <alignment horizontal="center"/>
    </xf>
    <xf numFmtId="0" fontId="3" fillId="0" borderId="14" xfId="0" applyFont="1" applyFill="1" applyBorder="1" applyAlignment="1">
      <alignment horizontal="center"/>
    </xf>
    <xf numFmtId="0" fontId="3" fillId="0" borderId="7" xfId="0" applyFont="1" applyFill="1" applyBorder="1" applyAlignment="1">
      <alignment horizontal="center"/>
    </xf>
    <xf numFmtId="0" fontId="0" fillId="0" borderId="7" xfId="0" applyFill="1" applyBorder="1" applyAlignment="1">
      <alignment horizontal="center" wrapText="1"/>
    </xf>
    <xf numFmtId="14" fontId="0" fillId="0" borderId="0" xfId="0" applyNumberFormat="1" applyFill="1" applyAlignment="1">
      <alignment horizontal="center" wrapText="1"/>
    </xf>
    <xf numFmtId="14" fontId="0" fillId="0" borderId="7" xfId="0" applyNumberFormat="1" applyFill="1" applyBorder="1" applyAlignment="1">
      <alignment horizontal="center" wrapText="1"/>
    </xf>
    <xf numFmtId="168" fontId="3" fillId="0" borderId="7" xfId="0" applyNumberFormat="1" applyFont="1" applyFill="1" applyBorder="1" applyAlignment="1">
      <alignment horizontal="center"/>
    </xf>
    <xf numFmtId="0" fontId="0" fillId="0" borderId="10" xfId="0" applyFill="1" applyBorder="1" applyAlignment="1">
      <alignment horizontal="center"/>
    </xf>
    <xf numFmtId="0" fontId="3" fillId="0" borderId="1" xfId="0" applyFont="1" applyFill="1" applyBorder="1"/>
    <xf numFmtId="0" fontId="0" fillId="0" borderId="1" xfId="0" applyFill="1" applyBorder="1"/>
    <xf numFmtId="168" fontId="3" fillId="0" borderId="1" xfId="0" applyNumberFormat="1" applyFont="1" applyFill="1" applyBorder="1" applyAlignment="1">
      <alignment horizontal="center"/>
    </xf>
    <xf numFmtId="4" fontId="0" fillId="0" borderId="1" xfId="0" applyNumberFormat="1" applyFill="1" applyBorder="1" applyAlignment="1">
      <alignment horizontal="center" wrapText="1"/>
    </xf>
    <xf numFmtId="0" fontId="0" fillId="0" borderId="5" xfId="0" applyFill="1" applyBorder="1" applyAlignment="1">
      <alignment horizontal="center" wrapText="1"/>
    </xf>
    <xf numFmtId="0" fontId="3" fillId="0" borderId="5" xfId="12" applyFont="1" applyFill="1" applyBorder="1" applyAlignment="1">
      <alignment horizontal="center"/>
    </xf>
    <xf numFmtId="14" fontId="0" fillId="0" borderId="5" xfId="0" applyNumberFormat="1" applyFill="1" applyBorder="1" applyAlignment="1">
      <alignment horizontal="center" wrapText="1"/>
    </xf>
    <xf numFmtId="0" fontId="0" fillId="0" borderId="5" xfId="0" applyFill="1" applyBorder="1" applyAlignment="1">
      <alignment horizontal="center"/>
    </xf>
    <xf numFmtId="42" fontId="0" fillId="0" borderId="0" xfId="1" applyFont="1" applyFill="1" applyBorder="1" applyAlignment="1">
      <alignment horizontal="center" wrapText="1"/>
    </xf>
    <xf numFmtId="0" fontId="3" fillId="0" borderId="5" xfId="0" applyFont="1" applyFill="1" applyBorder="1" applyAlignment="1">
      <alignment horizontal="center"/>
    </xf>
    <xf numFmtId="0" fontId="0" fillId="0" borderId="0" xfId="0" applyFill="1"/>
    <xf numFmtId="42" fontId="0" fillId="0" borderId="0" xfId="0" applyNumberFormat="1" applyFill="1" applyAlignment="1">
      <alignment horizontal="center" wrapText="1"/>
    </xf>
    <xf numFmtId="42" fontId="3" fillId="0" borderId="6" xfId="0" applyNumberFormat="1" applyFont="1" applyFill="1" applyBorder="1" applyAlignment="1">
      <alignment horizontal="center"/>
    </xf>
    <xf numFmtId="42" fontId="0" fillId="0" borderId="5" xfId="0" applyNumberFormat="1" applyFill="1" applyBorder="1" applyAlignment="1">
      <alignment horizontal="center" wrapText="1"/>
    </xf>
    <xf numFmtId="0" fontId="0" fillId="8" borderId="1" xfId="13" applyNumberFormat="1" applyFont="1" applyFill="1" applyBorder="1" applyAlignment="1">
      <alignment horizontal="center" wrapText="1"/>
    </xf>
    <xf numFmtId="42" fontId="11" fillId="13" borderId="1" xfId="1" applyFont="1" applyFill="1" applyBorder="1" applyAlignment="1">
      <alignment horizontal="center"/>
    </xf>
    <xf numFmtId="1" fontId="0" fillId="2" borderId="1" xfId="0" applyNumberFormat="1" applyFill="1" applyBorder="1" applyAlignment="1">
      <alignment horizontal="center"/>
    </xf>
    <xf numFmtId="42" fontId="1" fillId="2" borderId="1" xfId="1" applyFont="1" applyFill="1" applyBorder="1" applyAlignment="1">
      <alignment horizontal="center"/>
    </xf>
    <xf numFmtId="167" fontId="3" fillId="8" borderId="7" xfId="13" applyNumberFormat="1" applyFont="1" applyFill="1" applyBorder="1" applyAlignment="1">
      <alignment horizontal="center"/>
    </xf>
    <xf numFmtId="167" fontId="3" fillId="8" borderId="7" xfId="14" applyNumberFormat="1" applyFont="1" applyFill="1" applyBorder="1" applyAlignment="1">
      <alignment horizontal="center"/>
    </xf>
    <xf numFmtId="1" fontId="0" fillId="2" borderId="7" xfId="0" applyNumberFormat="1" applyFill="1" applyBorder="1" applyAlignment="1">
      <alignment horizontal="center"/>
    </xf>
    <xf numFmtId="42" fontId="0" fillId="2" borderId="7" xfId="1" applyFont="1" applyFill="1" applyBorder="1" applyAlignment="1">
      <alignment horizontal="center"/>
    </xf>
    <xf numFmtId="0" fontId="0" fillId="2" borderId="10" xfId="0" applyFill="1" applyBorder="1" applyAlignment="1">
      <alignment horizontal="center"/>
    </xf>
    <xf numFmtId="42" fontId="1" fillId="8" borderId="7" xfId="13" applyNumberFormat="1" applyFill="1" applyBorder="1" applyAlignment="1">
      <alignment horizontal="center" vertical="top" wrapText="1"/>
    </xf>
    <xf numFmtId="167" fontId="3" fillId="2" borderId="1" xfId="0" applyNumberFormat="1" applyFont="1" applyFill="1" applyBorder="1" applyAlignment="1">
      <alignment horizontal="center"/>
    </xf>
    <xf numFmtId="0" fontId="3" fillId="8" borderId="0" xfId="13" applyFont="1" applyFill="1" applyAlignment="1">
      <alignment horizontal="center"/>
    </xf>
    <xf numFmtId="42" fontId="1" fillId="8" borderId="0" xfId="13" applyNumberFormat="1" applyFill="1" applyAlignment="1">
      <alignment horizontal="center" vertical="top" wrapText="1"/>
    </xf>
    <xf numFmtId="0" fontId="0" fillId="0" borderId="7" xfId="0" applyFill="1" applyBorder="1" applyAlignment="1">
      <alignment horizontal="center"/>
    </xf>
    <xf numFmtId="169" fontId="0" fillId="0" borderId="7" xfId="18" applyFont="1" applyFill="1" applyBorder="1" applyAlignment="1" applyProtection="1">
      <alignment horizontal="center"/>
      <protection locked="0"/>
    </xf>
    <xf numFmtId="167" fontId="3" fillId="0" borderId="1" xfId="1" applyNumberFormat="1" applyFont="1" applyFill="1" applyBorder="1" applyAlignment="1">
      <alignment horizontal="center"/>
    </xf>
    <xf numFmtId="4" fontId="0" fillId="0" borderId="1" xfId="0" applyNumberFormat="1" applyFill="1" applyBorder="1" applyAlignment="1">
      <alignment horizontal="center"/>
    </xf>
    <xf numFmtId="4" fontId="0" fillId="0" borderId="0" xfId="0" applyNumberFormat="1" applyFill="1" applyAlignment="1">
      <alignment horizontal="center"/>
    </xf>
    <xf numFmtId="167" fontId="3" fillId="0" borderId="5" xfId="1" applyNumberFormat="1" applyFont="1" applyFill="1" applyBorder="1" applyAlignment="1">
      <alignment horizontal="center"/>
    </xf>
    <xf numFmtId="0" fontId="0" fillId="0" borderId="0" xfId="0" applyFill="1" applyAlignment="1">
      <alignment horizontal="center"/>
    </xf>
    <xf numFmtId="0" fontId="3" fillId="0" borderId="9" xfId="0" applyFont="1" applyFill="1" applyBorder="1" applyAlignment="1">
      <alignment horizontal="center"/>
    </xf>
    <xf numFmtId="0" fontId="3" fillId="0" borderId="2" xfId="0" applyFont="1" applyFill="1" applyBorder="1" applyAlignment="1">
      <alignment horizontal="center"/>
    </xf>
    <xf numFmtId="42" fontId="0" fillId="0" borderId="1" xfId="0" applyNumberFormat="1" applyFill="1" applyBorder="1" applyAlignment="1">
      <alignment horizontal="left" vertical="top" wrapText="1"/>
    </xf>
    <xf numFmtId="168" fontId="10" fillId="0" borderId="1" xfId="0" applyNumberFormat="1" applyFont="1" applyFill="1" applyBorder="1" applyAlignment="1">
      <alignment horizontal="center"/>
    </xf>
    <xf numFmtId="0" fontId="3" fillId="0" borderId="7" xfId="12" applyFont="1" applyFill="1" applyBorder="1" applyAlignment="1">
      <alignment horizontal="center"/>
    </xf>
    <xf numFmtId="0" fontId="6" fillId="0" borderId="7" xfId="0" applyFont="1" applyFill="1" applyBorder="1" applyAlignment="1">
      <alignment horizontal="center"/>
    </xf>
    <xf numFmtId="167" fontId="3" fillId="0" borderId="7" xfId="0" applyNumberFormat="1" applyFont="1" applyFill="1" applyBorder="1" applyAlignment="1">
      <alignment horizontal="right" indent="2"/>
    </xf>
    <xf numFmtId="42" fontId="0" fillId="0" borderId="7" xfId="1" applyFont="1" applyFill="1" applyBorder="1" applyAlignment="1">
      <alignment horizontal="center" wrapText="1"/>
    </xf>
    <xf numFmtId="167" fontId="3" fillId="0" borderId="7" xfId="1" applyNumberFormat="1" applyFont="1" applyFill="1" applyBorder="1" applyAlignment="1">
      <alignment horizontal="right"/>
    </xf>
    <xf numFmtId="14" fontId="0" fillId="0" borderId="15" xfId="0" applyNumberFormat="1" applyFill="1" applyBorder="1" applyAlignment="1">
      <alignment horizontal="center" wrapText="1"/>
    </xf>
    <xf numFmtId="42" fontId="3" fillId="0" borderId="10" xfId="0" applyNumberFormat="1" applyFont="1" applyFill="1" applyBorder="1" applyAlignment="1">
      <alignment horizontal="center"/>
    </xf>
  </cellXfs>
  <cellStyles count="19">
    <cellStyle name="Currency" xfId="18" xr:uid="{54234F45-9C77-49EC-BFF0-E0B82618B513}"/>
    <cellStyle name="Hipervínculo" xfId="12" builtinId="8"/>
    <cellStyle name="Hipervínculo 2" xfId="16" xr:uid="{991D3106-56AF-4734-8300-3A75E14AF337}"/>
    <cellStyle name="Millares [0]" xfId="8" builtinId="6"/>
    <cellStyle name="Millares [0] 14" xfId="15" xr:uid="{CEE50092-6B2B-4A96-88F7-8DE66EE074C6}"/>
    <cellStyle name="Millares 2 3" xfId="11" xr:uid="{00000000-0005-0000-0000-000002000000}"/>
    <cellStyle name="Millares 2 3 3" xfId="17" xr:uid="{8DAAAE52-A15F-4ADD-8382-70D70531D849}"/>
    <cellStyle name="Moneda [0]" xfId="1" builtinId="7"/>
    <cellStyle name="Moneda [0] 17" xfId="14" xr:uid="{77C48A60-B8A5-4F9C-ABE3-7E6E207547AC}"/>
    <cellStyle name="Moneda [0] 9" xfId="4" xr:uid="{00000000-0005-0000-0000-000004000000}"/>
    <cellStyle name="Moneda 5 4 2" xfId="7" xr:uid="{00000000-0005-0000-0000-000005000000}"/>
    <cellStyle name="Moneda 8" xfId="6" xr:uid="{00000000-0005-0000-0000-000006000000}"/>
    <cellStyle name="Normal" xfId="0" builtinId="0"/>
    <cellStyle name="Normal 11" xfId="2" xr:uid="{00000000-0005-0000-0000-000008000000}"/>
    <cellStyle name="Normal 11 2" xfId="10" xr:uid="{00000000-0005-0000-0000-000009000000}"/>
    <cellStyle name="Normal 17" xfId="13" xr:uid="{3FE84710-A631-440A-8D95-EA2CFAB62209}"/>
    <cellStyle name="Normal 4 6 4 2 2" xfId="9" xr:uid="{00000000-0005-0000-0000-00000A000000}"/>
    <cellStyle name="Normal 4 9" xfId="5" xr:uid="{00000000-0005-0000-0000-00000B000000}"/>
    <cellStyle name="Normal 7 4 2" xfId="3" xr:uid="{00000000-0005-0000-0000-00000C000000}"/>
  </cellStyles>
  <dxfs count="79">
    <dxf>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1"/>
        <color theme="1" tint="0.14999847407452621"/>
        <name val="Calibri"/>
        <scheme val="minor"/>
      </font>
      <fill>
        <patternFill patternType="solid">
          <fgColor indexed="64"/>
          <bgColor theme="5" tint="0.39997558519241921"/>
        </patternFill>
      </fill>
      <alignment horizontal="center" vertical="center" textRotation="0" wrapText="1" indent="0" justifyLastLine="0" shrinkToFit="0" readingOrder="0"/>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yyyy/mm/dd"/>
      <fill>
        <patternFill patternType="solid">
          <fgColor indexed="64"/>
          <bgColor indexed="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colors>
    <mruColors>
      <color rgb="FFFFFFFF"/>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pivotCacheDefinition" Target="pivotCache/pivotCacheDefinition1.xml"/></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0</xdr:rowOff>
    </xdr:from>
    <xdr:ext cx="156318" cy="85725"/>
    <xdr:sp macro="" textlink="">
      <xdr:nvSpPr>
        <xdr:cNvPr id="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30B4C7DA-A0D8-4A29-8A71-3A08C7536B36}"/>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5C9CB2AF-8890-4CF2-A849-AD03F48CA4BF}"/>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71DA1358-B7DE-4F6E-B387-A142F1FD31FD}"/>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E58A1EF7-67D1-4283-8861-C107B7B5E746}"/>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1B7B4E47-7F7F-451A-98D6-D44EE2561F95}"/>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7A18DF16-9D2B-4F98-AA24-5CE383BA4E29}"/>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DB9346DB-1E46-4B45-A3CC-25A667BA46AA}"/>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B621A3AD-1ABE-4671-85F7-52753CF3A9DA}"/>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6D9A161-371C-47DE-A54A-5416105F6778}"/>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5FAA2214-7906-4A67-B192-610B5B4061E1}"/>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2A9044E4-203A-4F63-BACA-C0BB7751747B}"/>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CBFE563-CB2F-45E9-9EB2-5AD9B204ED72}"/>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C2693F9E-5BD4-4E09-AE7A-449756CCF156}"/>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8A77C7E-A778-4AC1-B178-07AD0A91A73E}"/>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4B8AF73-693B-4154-92EA-774AED9B4727}"/>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AA3225C1-7F27-458A-B283-F688979E0A6E}"/>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DCA8FEA3-8B08-468C-92AB-D3291C936828}"/>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E31E5FAB-121E-4769-9FBE-25AAD285575B}"/>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54EABE94-B578-419C-98D9-41AD7BCCB431}"/>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831C68EF-B480-4F2D-932F-46E4FFBF3ED3}"/>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A8408E05-F461-41A0-B8D8-3FB313B1F4A7}"/>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901382C8-585F-440C-B104-9072D59F5CB8}"/>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658C2525-F281-479C-91B7-711A42079BBC}"/>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99096285-B8D0-445B-B637-F860E9B7DE4C}"/>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AB4D5B4B-30CE-4EED-98EE-1004F1ED05F1}"/>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68CBD93B-F0C5-4FD8-B219-B999E3C4FFDD}"/>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B25F9E4D-963D-46BD-A6F9-0B9FFC0ADF42}"/>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50FFC051-A2FF-48D9-832E-39E4A150BA2B}"/>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3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A987A5EA-B977-490C-BB25-CAA4857B1AB7}"/>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3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142658C1-4EE2-42EA-BE17-68D51418C1D9}"/>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48E1EBDA-2EE2-43D5-BE30-A08A84A32A21}"/>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20FEBRERO%202023%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20Febrero%20-%202023%20-%20DAYANNA%20PRIET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20Marzo%20-%202023%20-%20DAYANNA%20PRIETO%20-.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1049617134c\Downloads\Alejandra%20Arcos%20-%20informe%20gestion%20contractual%20Marzo%202023.xlsx" TargetMode="External"/><Relationship Id="rId1" Type="http://schemas.openxmlformats.org/officeDocument/2006/relationships/externalLinkPath" Target="/Users/1049617134c/Downloads/Alejandra%20Arcos%20-%20informe%20gestion%20contractual%20Marzo%20202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1049617134c\Downloads\DAYANNA%20PRIETO%20-%20Informe%20gestion%20contractual%20-%20Marzo%20-%202023.xlsx" TargetMode="External"/><Relationship Id="rId1" Type="http://schemas.openxmlformats.org/officeDocument/2006/relationships/externalLinkPath" Target="/Users/1049617134c/Downloads/DAYANNA%20PRIETO%20-%20Informe%20gestion%20contractual%20-%20Marzo%20-%20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lejandraarcos/Downloads/Informe%20gestion%20contractual%20-%20ABRIL%20-%202023%20-%20DAYANNA%20PRIETO%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marzo%202023%20(1).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1049617134c\Downloads\Diana%20Dur&#225;n%20-%20informe%20gestion%20contractual%20marzo-2023.xlsx" TargetMode="External"/><Relationship Id="rId1" Type="http://schemas.openxmlformats.org/officeDocument/2006/relationships/externalLinkPath" Target="/Users/1049617134c/Downloads/Diana%20Dur&#225;n%20-%20informe%20gestion%20contractual%20marzo-2023.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1049617134c\Downloads\Cesar%20Mejia%20-%20informe%20gestion%20contractual%20marzo%202023.xlsx" TargetMode="External"/><Relationship Id="rId1" Type="http://schemas.openxmlformats.org/officeDocument/2006/relationships/externalLinkPath" Target="/Users/1049617134c/Downloads/Cesar%20Mejia%20-%20informe%20gestion%20contractual%20marzo%202023.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1049617134c\Downloads\Diana%20Dur&#225;n%20-%20informe%20gestion%20contractual%20mayo-2023.xlsx" TargetMode="External"/><Relationship Id="rId1" Type="http://schemas.openxmlformats.org/officeDocument/2006/relationships/externalLinkPath" Target="/Users/1049617134c/Downloads/Diana%20Dur&#225;n%20-%20informe%20gestion%20contractual%20mayo-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Datos"/>
      <sheetName val="Contratación 2023"/>
      <sheetName val="Lista"/>
      <sheetName val="Consolidado informe gestion con"/>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Datos"/>
      <sheetName val="Contratación 2023"/>
      <sheetName val="Lista"/>
      <sheetName val="Informe gestion contractual - F"/>
    </sheetNames>
    <sheetDataSet>
      <sheetData sheetId="0" refreshError="1"/>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Datos"/>
      <sheetName val="Contratación 2023"/>
      <sheetName val="Lista"/>
      <sheetName val="Informe gestion contractual - M"/>
    </sheetNames>
    <sheetDataSet>
      <sheetData sheetId="0" refreshError="1"/>
      <sheetData sheetId="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alisis de Datos"/>
      <sheetName val="Contratación 2023"/>
      <sheetName val="Lista"/>
      <sheetName val="Alejandra Arcos - informe gesti"/>
    </sheetNames>
    <sheetDataSet>
      <sheetData sheetId="0" refreshError="1"/>
      <sheetData sheetId="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alisis de Datos"/>
      <sheetName val="Contratación 2023"/>
      <sheetName val="Lista"/>
      <sheetName val="DAYANNA PRIETO - Informe gestio"/>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gestion contractual - 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Datos"/>
      <sheetName val="Contratación 2023"/>
      <sheetName val="Lista"/>
      <sheetName val="informe gestion contractual mar"/>
    </sheetNames>
    <sheetDataSet>
      <sheetData sheetId="0" refreshError="1"/>
      <sheetData sheetId="1"/>
      <sheetData sheetId="2"/>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Diana Durán - informe gestion c"/>
      <sheetName val="Analisis de Datos"/>
      <sheetName val="Contratación 2023"/>
      <sheetName val="Lista"/>
    </sheetNames>
    <sheetDataSet>
      <sheetData sheetId="0" refreshError="1"/>
      <sheetData sheetId="1" refreshError="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alisis de Datos"/>
      <sheetName val="Contratación 2023"/>
      <sheetName val="Lista"/>
      <sheetName val="Cesar Mejia - informe gestion c"/>
    </sheetNames>
    <sheetDataSet>
      <sheetData sheetId="0" refreshError="1"/>
      <sheetData sheetId="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alisis de Datos"/>
      <sheetName val="Contratación 2023"/>
      <sheetName val="Lista"/>
    </sheetNames>
    <sheetDataSet>
      <sheetData sheetId="0" refreshError="1"/>
      <sheetData sheetId="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Maria Arcos Medina" refreshedDate="45077.605920254631" createdVersion="8" refreshedVersion="8" minRefreshableVersion="3" recordCount="200" xr:uid="{E89761A7-8687-4DED-868E-5F8BB598B1A2}">
  <cacheSource type="worksheet">
    <worksheetSource ref="A1:BV202" sheet="Contratación 2023 (2)"/>
  </cacheSource>
  <cacheFields count="74">
    <cacheField name="ENTIDAD" numFmtId="0">
      <sharedItems/>
    </cacheField>
    <cacheField name="NIT" numFmtId="0">
      <sharedItems/>
    </cacheField>
    <cacheField name="PLATAFORMA" numFmtId="0">
      <sharedItems/>
    </cacheField>
    <cacheField name="CONSECUTIVO PAABS EXCEL Y ESTUDIOS PREVIOS " numFmtId="0">
      <sharedItems containsMixedTypes="1" containsNumber="1" containsInteger="1" minValue="1" maxValue="297"/>
    </cacheField>
    <cacheField name="PROFESIONAL ENCARGADO" numFmtId="0">
      <sharedItems count="7">
        <s v="Dayanna Prieto Villalba"/>
        <s v="Alejandra María Arcos Medina"/>
        <s v="Belisa Amparo Oviedo Diaz"/>
        <s v="Diana Esperanza Durán Garcia "/>
        <s v="Cesar Augusto Mejia Carrillo"/>
        <s v="Juan David Camargo García "/>
        <s v="Cesar Augusto Mejía Carrillo"/>
      </sharedItems>
    </cacheField>
    <cacheField name="EXPEDIENTE" numFmtId="0">
      <sharedItems/>
    </cacheField>
    <cacheField name="N°PROCESO EN SECOP / No. EVENTO " numFmtId="0">
      <sharedItems containsDate="1" containsMixedTypes="1" minDate="1900-01-07T18:09:04" maxDate="1900-01-06T21:07:05"/>
    </cacheField>
    <cacheField name="MES" numFmtId="0">
      <sharedItems count="4">
        <s v="Enero"/>
        <s v="Febrero"/>
        <s v="Marzo"/>
        <s v="Abril"/>
      </sharedItems>
    </cacheField>
    <cacheField name="FECHA PUBLICACION PROCESO SECOP II-TIENDA VIRTUAL" numFmtId="0">
      <sharedItems containsDate="1" containsMixedTypes="1" minDate="2023-01-11T00:00:00" maxDate="2023-04-29T00:00:00" count="62">
        <d v="2023-01-11T00:00:00"/>
        <d v="2023-01-12T00:00:00"/>
        <d v="2023-01-13T00:00:00"/>
        <d v="2023-01-16T00:00:00"/>
        <d v="2023-01-17T00:00:00"/>
        <d v="2023-01-18T00:00:00"/>
        <d v="2023-01-19T00:00:00"/>
        <d v="2023-01-20T00:00:00"/>
        <d v="2023-01-23T00:00:00"/>
        <d v="2023-01-24T00:00:00"/>
        <d v="2023-01-25T00:00:00"/>
        <d v="2023-01-26T00:00:00"/>
        <d v="2023-01-27T00:00:00"/>
        <d v="2023-01-30T00:00:00"/>
        <d v="2023-01-31T00:00:00"/>
        <d v="2023-02-06T00:00:00"/>
        <d v="2023-02-09T00:00:00"/>
        <d v="2023-02-10T00:00:00"/>
        <d v="2023-02-13T00:00:00"/>
        <d v="2023-02-14T00:00:00"/>
        <d v="2023-02-15T00:00:00"/>
        <d v="2023-02-16T00:00:00"/>
        <d v="2023-02-17T00:00:00"/>
        <d v="2023-02-20T00:00:00"/>
        <d v="2023-02-21T00:00:00"/>
        <d v="2023-02-22T00:00:00"/>
        <d v="2023-02-23T00:00:00"/>
        <d v="2023-02-24T00:00:00"/>
        <d v="2023-02-27T00:00:00"/>
        <d v="2023-02-28T00:00:00"/>
        <d v="2023-03-01T00:00:00"/>
        <d v="2023-03-02T00:00:00"/>
        <d v="2023-03-03T00:00:00"/>
        <d v="2023-03-07T00:00:00"/>
        <d v="2023-03-08T00:00:00"/>
        <d v="2023-03-09T00:00:00"/>
        <d v="2023-03-10T00:00:00"/>
        <d v="2023-03-13T00:00:00"/>
        <d v="2023-04-03T00:00:00"/>
        <d v="2023-03-14T00:00:00"/>
        <d v="2023-04-10T00:00:00"/>
        <d v="2023-03-15T00:00:00"/>
        <d v="2023-03-16T00:00:00"/>
        <d v="2023-03-17T00:00:00"/>
        <d v="2023-04-11T00:00:00"/>
        <d v="2023-03-21T00:00:00"/>
        <d v="2023-03-22T00:00:00"/>
        <d v="2023-03-23T00:00:00"/>
        <d v="2023-03-24T00:00:00"/>
        <d v="2023-03-28T00:00:00"/>
        <d v="2023-03-29T00:00:00"/>
        <d v="2023-03-30T00:00:00"/>
        <d v="2023-03-31T00:00:00"/>
        <d v="2023-04-27T00:00:00"/>
        <d v="2023-04-28T00:00:00"/>
        <d v="2023-04-21T00:00:00"/>
        <s v="11/042023"/>
        <d v="2023-04-14T00:00:00"/>
        <d v="2023-04-20T00:00:00"/>
        <d v="2023-04-18T00:00:00"/>
        <d v="2023-04-25T00:00:00"/>
        <d v="2023-04-04T00:00:00"/>
      </sharedItems>
    </cacheField>
    <cacheField name="MODALIDAD" numFmtId="0">
      <sharedItems/>
    </cacheField>
    <cacheField name="CAUSAL" numFmtId="0">
      <sharedItems containsBlank="1"/>
    </cacheField>
    <cacheField name="AREA DE LA  NECESIDAD" numFmtId="0">
      <sharedItems count="32">
        <s v="Dirección General"/>
        <s v="Oficina Asesora de Planeación"/>
        <s v="Oficina de Tecnología de la Informacion"/>
        <s v="Subdirección Administrativa y Financiera"/>
        <s v="Oficina de Comunicaciones "/>
        <s v="Secretaria General"/>
        <s v="Subdirección de Verificación Migratoria"/>
        <s v="Grupo de Archivo y Correspondencia"/>
        <s v="Sub. Adm y financiera - Grupo Administrativo"/>
        <s v="Oficina Asesora Juridica"/>
        <s v="oficina tecnologias de la informacion"/>
        <s v="Oficina Asesora Jurídica"/>
        <s v="Subdirección de Control Migratorio"/>
        <s v="Subdireccion de Control Migratorio"/>
        <s v="oficina  de  comunicaciones "/>
        <s v="subdireccion talento humano"/>
        <s v="Grupo de Archivo y Correspondencia - Tecnología"/>
        <s v="Subdirección de Extranjeria"/>
        <s v="Subdirección Administrativa y Financiera - Grupo Administrativo"/>
        <s v="CONTROL INTERNO DISCIPLINARIO"/>
        <s v="SUBDIRECCIÃN DE CONTROL DISCIPLINARIO INTERNO"/>
        <s v="SUBDIRECCION  TALENTO HUMANO "/>
        <s v="subdireccion de talento humano"/>
        <s v="SUBDIRECCION ADMINISTRATIVA Y FINANCIERA "/>
        <s v="Subdirección de Talento Humano"/>
        <s v="Oficina Tecnología de la Información"/>
        <s v="Subdirección de Talento Humano – Grupo de Pasajes y Viáticos"/>
        <s v="Grupo de Bienestar Social y Salud Ocupacional"/>
        <s v="Subdirección Administrativa y Financiera "/>
        <s v="Subdirección de Talento Humano "/>
        <s v="Oficina de Tecnología de la Información "/>
        <s v="Oficina de Tecnologías de la Información"/>
      </sharedItems>
    </cacheField>
    <cacheField name="OBJETO" numFmtId="0">
      <sharedItems longText="1"/>
    </cacheField>
    <cacheField name="CODIGO UNSCSP" numFmtId="0">
      <sharedItems containsBlank="1" containsMixedTypes="1" containsNumber="1" containsInteger="1" minValue="432332" maxValue="92121500"/>
    </cacheField>
    <cacheField name="NOMBRE DE CODIGO" numFmtId="0">
      <sharedItems containsBlank="1" longText="1"/>
    </cacheField>
    <cacheField name="VALOR PROCESO EN EL PAABS SECOP II" numFmtId="0">
      <sharedItems containsMixedTypes="1" containsNumber="1" minValue="950000" maxValue="10994809613"/>
    </cacheField>
    <cacheField name="VALOR PROCESO  ESTUDIOS PREVIOS " numFmtId="0">
      <sharedItems containsMixedTypes="1" containsNumber="1" minValue="838000" maxValue="10222636747"/>
    </cacheField>
    <cacheField name="CDP" numFmtId="0">
      <sharedItems containsBlank="1" containsMixedTypes="1" containsNumber="1" containsInteger="1" minValue="4223" maxValue="35623"/>
    </cacheField>
    <cacheField name="RUBRO" numFmtId="0">
      <sharedItems containsBlank="1"/>
    </cacheField>
    <cacheField name="ETAPA" numFmtId="0">
      <sharedItems/>
    </cacheField>
    <cacheField name="ESTADO" numFmtId="0">
      <sharedItems containsBlank="1"/>
    </cacheField>
    <cacheField name="RESOLUCION DECLARACTORIA DESIERTO" numFmtId="0">
      <sharedItems containsBlank="1" containsMixedTypes="1" containsNumber="1" containsInteger="1" minValue="226" maxValue="342"/>
    </cacheField>
    <cacheField name="N° DE CONTRATO CELEBRADO" numFmtId="0">
      <sharedItems containsBlank="1" containsMixedTypes="1" containsNumber="1" containsInteger="1" minValue="106790" maxValue="108707"/>
    </cacheField>
    <cacheField name="MES2" numFmtId="0">
      <sharedItems containsBlank="1"/>
    </cacheField>
    <cacheField name="FECHA DE FIRMA CONTRATO" numFmtId="0">
      <sharedItems containsDate="1" containsBlank="1" containsMixedTypes="1" minDate="2023-01-13T00:00:00" maxDate="2056-05-24T00:00:00"/>
    </cacheField>
    <cacheField name="TIPO DE CONTRATO" numFmtId="0">
      <sharedItems containsBlank="1"/>
    </cacheField>
    <cacheField name="OTRO TIPO DE CONTRATO" numFmtId="0">
      <sharedItems containsBlank="1"/>
    </cacheField>
    <cacheField name="REGIONAL" numFmtId="0">
      <sharedItems containsBlank="1"/>
    </cacheField>
    <cacheField name="_x000a_LUGAR DE EJECUCION_x000a_" numFmtId="0">
      <sharedItems containsBlank="1"/>
    </cacheField>
    <cacheField name="CONTRATISTA" numFmtId="0">
      <sharedItems containsBlank="1"/>
    </cacheField>
    <cacheField name="IDENTIFICACION" numFmtId="0">
      <sharedItems containsBlank="1" containsMixedTypes="1" containsNumber="1" containsInteger="1" minValue="2231695" maxValue="8002374121"/>
    </cacheField>
    <cacheField name="DV" numFmtId="0">
      <sharedItems containsBlank="1" containsMixedTypes="1" containsNumber="1" containsInteger="1" minValue="0" maxValue="9"/>
    </cacheField>
    <cacheField name="PROFESIÓN" numFmtId="0">
      <sharedItems containsBlank="1"/>
    </cacheField>
    <cacheField name="MYPIME" numFmtId="0">
      <sharedItems containsBlank="1"/>
    </cacheField>
    <cacheField name="CLASIFICACION" numFmtId="0">
      <sharedItems containsBlank="1"/>
    </cacheField>
    <cacheField name="TIPO DE ORGANIZACIÓN" numFmtId="0">
      <sharedItems containsBlank="1"/>
    </cacheField>
    <cacheField name="FECHA DE NACIMIENTO" numFmtId="0">
      <sharedItems containsDate="1" containsBlank="1" containsMixedTypes="1" minDate="1962-07-29T00:00:00" maxDate="2001-02-09T00:00:00"/>
    </cacheField>
    <cacheField name="EDAD" numFmtId="0">
      <sharedItems containsBlank="1" containsMixedTypes="1" containsNumber="1" containsInteger="1" minValue="25" maxValue="123"/>
    </cacheField>
    <cacheField name="N° RP" numFmtId="0">
      <sharedItems containsBlank="1" containsMixedTypes="1" containsNumber="1" containsInteger="1" minValue="13723" maxValue="79923"/>
    </cacheField>
    <cacheField name="FECHA RP" numFmtId="0">
      <sharedItems containsNonDate="0" containsDate="1" containsString="0" containsBlank="1" minDate="2023-01-12T00:00:00" maxDate="2023-05-03T00:00:00"/>
    </cacheField>
    <cacheField name="VALOR  2023" numFmtId="0">
      <sharedItems containsBlank="1" containsMixedTypes="1" containsNumber="1" minValue="838000" maxValue="5122000000"/>
    </cacheField>
    <cacheField name="VALOR VF 2024" numFmtId="0">
      <sharedItems containsString="0" containsBlank="1" containsNumber="1" containsInteger="1" minValue="4982000000" maxValue="4982000000"/>
    </cacheField>
    <cacheField name="VALOR VF 2025" numFmtId="0">
      <sharedItems containsNonDate="0" containsString="0" containsBlank="1"/>
    </cacheField>
    <cacheField name="VALOR VF 2026" numFmtId="0">
      <sharedItems containsNonDate="0" containsString="0" containsBlank="1"/>
    </cacheField>
    <cacheField name="VALOR TOTAL CONTRATO + VF" numFmtId="0">
      <sharedItems containsBlank="1" containsMixedTypes="1" containsNumber="1" minValue="0" maxValue="10104000000"/>
    </cacheField>
    <cacheField name="GARANTIA" numFmtId="0">
      <sharedItems containsBlank="1"/>
    </cacheField>
    <cacheField name="FECHA DE EXPEDICION GARANTIA" numFmtId="0">
      <sharedItems containsDate="1" containsBlank="1" containsMixedTypes="1" minDate="1899-12-31T00:00:00" maxDate="2023-05-05T00:00:00"/>
    </cacheField>
    <cacheField name="RIESGOS" numFmtId="0">
      <sharedItems containsBlank="1"/>
    </cacheField>
    <cacheField name="FECHA DE INICIO DEL CONTRATO" numFmtId="0">
      <sharedItems containsDate="1" containsBlank="1" containsMixedTypes="1" minDate="2023-01-16T00:00:00" maxDate="2023-05-05T00:00:00"/>
    </cacheField>
    <cacheField name="FECHA DE TERMINACION DEL CONTRATO" numFmtId="0">
      <sharedItems containsDate="1" containsBlank="1" containsMixedTypes="1" minDate="2023-04-14T00:00:00" maxDate="2024-07-01T00:00:00"/>
    </cacheField>
    <cacheField name="DIAS DE EJECUCION DEL CONTRATO" numFmtId="0">
      <sharedItems containsBlank="1" containsMixedTypes="1" containsNumber="1" containsInteger="1" minValue="0" maxValue="426"/>
    </cacheField>
    <cacheField name="NOMBRE SUPERVISOR" numFmtId="0">
      <sharedItems containsBlank="1"/>
    </cacheField>
    <cacheField name="CEDULA SUPERVISOR" numFmtId="0">
      <sharedItems containsString="0" containsBlank="1" containsNumber="1" containsInteger="1" minValue="7183645" maxValue="1144031972"/>
    </cacheField>
    <cacheField name="ADICION 1 " numFmtId="0">
      <sharedItems containsNonDate="0" containsString="0" containsBlank="1"/>
    </cacheField>
    <cacheField name="FECHA  DE FIRMA" numFmtId="0">
      <sharedItems containsNonDate="0" containsString="0" containsBlank="1"/>
    </cacheField>
    <cacheField name="ADICION 2" numFmtId="0">
      <sharedItems containsNonDate="0" containsString="0" containsBlank="1"/>
    </cacheField>
    <cacheField name="FECHA FIRMA" numFmtId="0">
      <sharedItems containsNonDate="0" containsString="0" containsBlank="1"/>
    </cacheField>
    <cacheField name="ADICION 3" numFmtId="0">
      <sharedItems containsNonDate="0" containsString="0" containsBlank="1"/>
    </cacheField>
    <cacheField name="FECHADE FIRMA" numFmtId="0">
      <sharedItems containsNonDate="0" containsString="0" containsBlank="1"/>
    </cacheField>
    <cacheField name="LIBERACION" numFmtId="0">
      <sharedItems containsNonDate="0" containsString="0" containsBlank="1"/>
    </cacheField>
    <cacheField name="FECHA LIBERACION " numFmtId="0">
      <sharedItems containsString="0" containsBlank="1" containsNumber="1" containsInteger="1" minValue="13700" maxValue="13700"/>
    </cacheField>
    <cacheField name="VALOR TOTAL DEL CONTRATO CON ADICIONES VIGENCIA" numFmtId="0">
      <sharedItems containsBlank="1" containsMixedTypes="1" containsNumber="1" minValue="0" maxValue="10104000000"/>
    </cacheField>
    <cacheField name="PRORROGA 1  EN DIAS" numFmtId="0">
      <sharedItems containsString="0" containsBlank="1" containsNumber="1" containsInteger="1" minValue="28" maxValue="47"/>
    </cacheField>
    <cacheField name="FECHADE TERMINACION DEL CONTRATO" numFmtId="0">
      <sharedItems containsNonDate="0" containsDate="1" containsString="0" containsBlank="1" minDate="2023-05-22T00:00:00" maxDate="2023-06-01T00:00:00"/>
    </cacheField>
    <cacheField name="FECHA FIRMA DEL DOCUMENTO" numFmtId="0">
      <sharedItems containsNonDate="0" containsDate="1" containsString="0" containsBlank="1" minDate="2023-04-13T00:00:00" maxDate="2023-04-22T00:00:00"/>
    </cacheField>
    <cacheField name="PRORROGA 2 EN DIAS" numFmtId="0">
      <sharedItems containsNonDate="0" containsString="0" containsBlank="1"/>
    </cacheField>
    <cacheField name="FECHA DE TERMINACION DEL CONTRATO2" numFmtId="0">
      <sharedItems containsNonDate="0" containsString="0" containsBlank="1"/>
    </cacheField>
    <cacheField name="FECHA FIRMA DEL DOCUMENTOS" numFmtId="0">
      <sharedItems containsNonDate="0" containsString="0" containsBlank="1"/>
    </cacheField>
    <cacheField name="PRORROGA 3 EN DIAS" numFmtId="0">
      <sharedItems containsNonDate="0" containsString="0" containsBlank="1"/>
    </cacheField>
    <cacheField name="FECHA DE TERMINACION DEL CONTRATO3" numFmtId="0">
      <sharedItems containsNonDate="0" containsString="0" containsBlank="1"/>
    </cacheField>
    <cacheField name="FECHA FIRMA DEL DOCUMENTO2" numFmtId="0">
      <sharedItems containsNonDate="0" containsString="0" containsBlank="1"/>
    </cacheField>
    <cacheField name="TIEMPO DE EJECUCION DEL CONTRATO CON LAS PRORROGAS" numFmtId="0">
      <sharedItems containsBlank="1" containsMixedTypes="1" containsNumber="1" containsInteger="1" minValue="0" maxValue="349"/>
    </cacheField>
    <cacheField name="FECHA DE LIQUIDACION DEL CONTRATO" numFmtId="0">
      <sharedItems containsNonDate="0" containsString="0" containsBlank="1"/>
    </cacheField>
    <cacheField name="OBSERVACION "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UNIDAD ADMINISTRATIVA ESPECIAL MIGRACIÓN COLOMBIA"/>
    <s v="900477235-6"/>
    <s v="Secop II"/>
    <n v="1"/>
    <x v="0"/>
    <s v="20236311413000001E"/>
    <s v="PCD-004-2023-1D"/>
    <x v="0"/>
    <x v="0"/>
    <s v="Contratación Directa"/>
    <s v="Prestación de Servicios Profesionales "/>
    <x v="0"/>
    <s v="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
    <n v="80161504"/>
    <s v="Servicios de oficina"/>
    <n v="138000000"/>
    <n v="138000000"/>
    <n v="11223"/>
    <s v="A-02-02-02-008-003"/>
    <s v="Celebrado"/>
    <s v="En ejecución"/>
    <m/>
    <s v="CO-001-2023"/>
    <s v="Enero"/>
    <d v="2023-01-13T00:00:00"/>
    <s v="Prestación de Servicios Profesionales"/>
    <m/>
    <s v="Nivel Central"/>
    <s v="Bogotá D.C."/>
    <s v="LESLIE CATALINA ESPARZA NARANJO"/>
    <n v="52046198"/>
    <s v="-"/>
    <s v="COMUNICACIÓN SOCIAL"/>
    <s v="NO"/>
    <s v="No es mypime"/>
    <s v="N/A"/>
    <d v="1971-04-24T00:00:00"/>
    <n v="52"/>
    <n v="13723"/>
    <d v="2023-01-12T00:00:00"/>
    <n v="138000000"/>
    <m/>
    <m/>
    <m/>
    <n v="138000000"/>
    <s v="Si "/>
    <d v="2023-01-17T00:00:00"/>
    <s v="2 CUMPLIMIENTO"/>
    <d v="2023-01-17T00:00:00"/>
    <d v="2023-12-31T00:00:00"/>
    <n v="348"/>
    <s v="MARTHA EUGENIA RAMOS OSPINA"/>
    <n v="55164919"/>
    <m/>
    <m/>
    <m/>
    <m/>
    <m/>
    <m/>
    <m/>
    <m/>
    <n v="138000000"/>
    <m/>
    <m/>
    <m/>
    <m/>
    <m/>
    <m/>
    <m/>
    <m/>
    <m/>
    <n v="348"/>
    <m/>
    <m/>
  </r>
  <r>
    <s v="UNIDAD ADMINISTRATIVA ESPECIAL MIGRACIÓN COLOMBIA"/>
    <s v="900477235-6"/>
    <s v="Secop II"/>
    <n v="7"/>
    <x v="0"/>
    <s v="20232121413000001E"/>
    <s v="PCD-001-2023-1P"/>
    <x v="0"/>
    <x v="1"/>
    <s v="Contratación Directa"/>
    <s v="Prestación de Servicios Profesionales "/>
    <x v="1"/>
    <s v="PRESTACIÓN DE SERVICIOS PROFESIONALES CON AUTONOMÍA TÉCNICA Y ADMINISTRATIVA EN  A LA OFICINA ASESORA DE PLANEACIÓN EN TEMAS DE DIRECCIONAMIENTO Y PLANEACIÓN ESTRATÉGICA EN EL MARCO DEL PLAN NACIONAL DE DESARROLLO, POLÍTICAS PÚBLICAS Y POLÍTICAS DE GESTIÓN INSTITUCIONAL."/>
    <n v="80111600"/>
    <s v="Servicios de personal temporal"/>
    <n v="57500000"/>
    <n v="57500000"/>
    <n v="12223"/>
    <s v="C-1199-1002-11-0-1199060-02"/>
    <s v="Celebrado"/>
    <s v="En ejecución"/>
    <m/>
    <s v="CO-002-2023"/>
    <s v="Enero"/>
    <d v="2023-01-13T00:00:00"/>
    <s v="Prestación de Servicios Profesionales"/>
    <m/>
    <s v="Nivel Central"/>
    <s v="Bogotá D.C."/>
    <s v="ANA MARIA OCHOA TABARES"/>
    <n v="52528201"/>
    <s v="-"/>
    <s v="INGENIERIA INDUSTRIAL"/>
    <s v="NO"/>
    <s v="No es mypime"/>
    <s v="N/A"/>
    <d v="1979-07-05T00:00:00"/>
    <n v="44"/>
    <n v="15323"/>
    <d v="2023-01-16T00:00:00"/>
    <n v="57500000"/>
    <m/>
    <m/>
    <m/>
    <n v="57500000"/>
    <s v="Si "/>
    <d v="2023-01-13T00:00:00"/>
    <s v="2 CUMPLIMIENTO"/>
    <d v="2023-01-16T00:00:00"/>
    <d v="2023-12-31T00:00:00"/>
    <n v="349"/>
    <s v="JORGE ENRIQUE GARCIA LONDOÑO"/>
    <n v="79276876"/>
    <m/>
    <m/>
    <m/>
    <m/>
    <m/>
    <m/>
    <m/>
    <m/>
    <n v="57500000"/>
    <m/>
    <m/>
    <m/>
    <m/>
    <m/>
    <m/>
    <m/>
    <m/>
    <m/>
    <n v="349"/>
    <m/>
    <m/>
  </r>
  <r>
    <s v="UNIDAD ADMINISTRATIVA ESPECIAL MIGRACIÓN COLOMBIA"/>
    <s v="900477235-6"/>
    <s v="Secop II"/>
    <n v="45"/>
    <x v="0"/>
    <s v="20232501413000001E"/>
    <s v="PCD-015-2023-1TEC"/>
    <x v="0"/>
    <x v="1"/>
    <s v="Contratación Directa"/>
    <s v="Prestación de Servicios Profesionales "/>
    <x v="2"/>
    <s v="PRESTAR LOS SERVICIOS PROFESIONALES PARA DESARROLLAR ACTIVIDADES RELACIONADAS CON TEMAS CONTRACTUALES  DE LA OFICINA DE TECNOLOGÍA DE LA INFORMACIÓN DE MIGRACIÓN COLOMBIA."/>
    <s v="81111800;80111600"/>
    <s v="Servicios de sistemas y administración de componentes de sistemas - Servicios de personal temporal"/>
    <n v="80500000"/>
    <n v="80500000"/>
    <n v="11423"/>
    <s v="C-1199-1002-10-0-1199001-02"/>
    <s v="Celebrado"/>
    <s v="En ejecución"/>
    <m/>
    <s v="CO-005-2023"/>
    <s v="Enero"/>
    <d v="2023-01-13T00:00:00"/>
    <s v="Prestación de Servicios Profesionales"/>
    <m/>
    <s v="Nivel Central"/>
    <s v="Bogotá D.C."/>
    <s v="NORA CONSTANZA PARRA NARANJO"/>
    <n v="1057579290"/>
    <s v="-"/>
    <s v="INGENIERIA INDUSTRIAL"/>
    <s v="NO"/>
    <s v="No es mypime"/>
    <s v="N/A"/>
    <d v="1988-09-09T00:00:00"/>
    <n v="35"/>
    <n v="14423"/>
    <d v="2023-01-13T00:00:00"/>
    <n v="80500000"/>
    <m/>
    <m/>
    <m/>
    <n v="80500000"/>
    <s v="Si "/>
    <d v="2023-01-17T00:00:00"/>
    <s v="2 CUMPLIMIENTO"/>
    <d v="2023-01-16T00:00:00"/>
    <d v="2023-12-31T00:00:00"/>
    <n v="349"/>
    <s v="DIEGO EMILIO OJEDA MONCAYO"/>
    <n v="19498970"/>
    <m/>
    <m/>
    <m/>
    <m/>
    <m/>
    <m/>
    <m/>
    <m/>
    <n v="80500000"/>
    <m/>
    <m/>
    <m/>
    <m/>
    <m/>
    <m/>
    <m/>
    <m/>
    <m/>
    <n v="349"/>
    <m/>
    <m/>
  </r>
  <r>
    <s v="UNIDAD ADMINISTRATIVA ESPECIAL MIGRACIÓN COLOMBIA"/>
    <s v="900477235-6"/>
    <s v="Secop II"/>
    <n v="165"/>
    <x v="0"/>
    <s v="20236211413000001E"/>
    <s v="PCD-017-2023-47SYF"/>
    <x v="0"/>
    <x v="1"/>
    <s v="Contratación Directa"/>
    <s v="Prestación de Servicios Profesionales "/>
    <x v="3"/>
    <s v="PRESTACIÓN DE SERVICIOS PROFESIONALES  CON AUTONOMÍA TÉCNICA Y ADMINISTRATIVA EN TEMAS CONTABLES Y TRIBUTARIOS AL GRUPO FINANCIERO DE LA  SUBDIRECCIÓN ADMINISTRATIVA Y FINANCIERA, DE ACUERDO CON LAS CONDICIONES Y ESPECIFICACIONES TÉCNICAS DESCRITAS EN LOS ESTUDIOS PREVIOS."/>
    <s v="80161504;80111605"/>
    <s v="Servicios de oficina - Necesidades de dotación de personal financiero temporal"/>
    <n v="69000000"/>
    <n v="69000000"/>
    <n v="9523"/>
    <s v="A-02-02-02-008-003"/>
    <s v="Celebrado"/>
    <s v="En ejecución"/>
    <m/>
    <s v="CO-006-2023"/>
    <s v="Enero"/>
    <d v="2023-01-16T00:00:00"/>
    <s v="Prestación de Servicios Profesionales"/>
    <m/>
    <s v="Nivel Central"/>
    <s v="Bogotá D.C."/>
    <s v="OSCAR LIBARDO LANCHEROS BUITRAGO"/>
    <n v="80469022"/>
    <s v="-"/>
    <s v="CONTADURIA PÚBLICA"/>
    <s v="NO"/>
    <s v="No es mypime"/>
    <s v="N/A"/>
    <d v="1972-05-13T00:00:00"/>
    <n v="51"/>
    <n v="15423"/>
    <d v="2023-01-16T00:00:00"/>
    <n v="69000000"/>
    <m/>
    <m/>
    <m/>
    <n v="69000000"/>
    <s v="Si "/>
    <d v="2023-01-17T00:00:00"/>
    <s v="2 CUMPLIMIENTO"/>
    <d v="2023-01-17T00:00:00"/>
    <d v="2023-12-30T00:00:00"/>
    <n v="347"/>
    <s v="GUSTAVO ALBERTO PADILLA"/>
    <n v="19462757"/>
    <m/>
    <m/>
    <m/>
    <m/>
    <m/>
    <m/>
    <m/>
    <m/>
    <n v="69000000"/>
    <m/>
    <m/>
    <m/>
    <m/>
    <m/>
    <m/>
    <m/>
    <m/>
    <m/>
    <n v="347"/>
    <m/>
    <m/>
  </r>
  <r>
    <s v="UNIDAD ADMINISTRATIVA ESPECIAL MIGRACIÓN COLOMBIA"/>
    <s v="900477235-6"/>
    <s v="Secop II"/>
    <n v="167"/>
    <x v="0"/>
    <s v="20236231413000001E"/>
    <s v="PCD-002-2023-49SYF"/>
    <x v="0"/>
    <x v="1"/>
    <s v="Contratación Directa"/>
    <s v="Prestación de Servicios Profesionales "/>
    <x v="3"/>
    <s v="PRESTACIÓN DE SERVICIOS PROFESIONALES  CON AUTONOMÍA TÉCNICA Y ADMINISTRATIVA  PARA LA GESTIÓN CONTRACTUAL, ELABORACIÓN Y PUBLICACIÓN DE DOCUMENTOS ASIGNADOS EN LAS DIFERENTES MODALIDADES, ASI COMO LA GESTIÓN POSCONTRACTUAL DE LOS PROCESOS QUE SE ADELANTAN EN LA UEMC."/>
    <s v="80161504;80111605"/>
    <s v="Servicios de oficina - Necesidades de dotación de personal financiero temporal"/>
    <n v="92000000"/>
    <n v="92000000"/>
    <n v="9323"/>
    <s v="A-02-02-02-008-003"/>
    <s v="Celebrado"/>
    <s v="En ejecución"/>
    <m/>
    <s v="CO-018-2023"/>
    <s v="Enero"/>
    <d v="2023-01-16T00:00:00"/>
    <s v="Prestación de Servicios Profesionales"/>
    <m/>
    <s v="Nivel Central"/>
    <s v="Bogotá D.C."/>
    <s v="ALEJANDRA MARIA ARCOS MEDINA"/>
    <n v="1049617134"/>
    <s v="-"/>
    <s v="DERECHO"/>
    <s v="NO"/>
    <s v="No es mypime"/>
    <s v="N/A"/>
    <d v="1989-06-23T00:00:00"/>
    <n v="34"/>
    <n v="15023"/>
    <d v="2023-01-16T00:00:00"/>
    <n v="92000000"/>
    <m/>
    <m/>
    <m/>
    <n v="92000000"/>
    <s v="Si "/>
    <d v="2023-01-16T00:00:00"/>
    <s v="2 CUMPLIMIENTO"/>
    <d v="2023-01-16T00:00:00"/>
    <d v="2023-12-31T00:00:00"/>
    <n v="349"/>
    <s v="JOSE CLEMENTE GOMEZ ROMERO"/>
    <n v="74852744"/>
    <m/>
    <m/>
    <m/>
    <m/>
    <m/>
    <m/>
    <m/>
    <m/>
    <n v="92000000"/>
    <m/>
    <m/>
    <m/>
    <m/>
    <m/>
    <m/>
    <m/>
    <m/>
    <m/>
    <n v="349"/>
    <m/>
    <m/>
  </r>
  <r>
    <s v="UNIDAD ADMINISTRATIVA ESPECIAL MIGRACIÓN COLOMBIA"/>
    <s v="900477235-6"/>
    <s v="Secop II"/>
    <n v="166"/>
    <x v="1"/>
    <s v="20236211413000002E"/>
    <s v="PCD-003-2023-48SYF"/>
    <x v="0"/>
    <x v="2"/>
    <s v="Contratación Directa"/>
    <s v="Prestación de Servicios Profesionales "/>
    <x v="3"/>
    <s v="Prestación de servicios profesionales con autonomía técnica y administrativa para la realización del trámite de cuentas por pagar y obligaciones dentro del SIIF, así como la aplicación de retenciones y revisión de declaraciones tributarias a cargo de la entidad."/>
    <n v="80111600"/>
    <s v="Servicios de gestión, servicios profesionales de empresa y servicios administrativos"/>
    <n v="69000000"/>
    <n v="69000000"/>
    <n v="11723"/>
    <s v="A-02-02-02-008-003"/>
    <s v="Celebrado"/>
    <s v="En ejecución"/>
    <m/>
    <s v="CO-007-2023"/>
    <s v="Enero"/>
    <d v="2023-01-16T00:00:00"/>
    <s v="Prestación de Servicios Profesionales"/>
    <m/>
    <s v="Nivel Central"/>
    <s v="Bogotá D.C."/>
    <s v="CESAR DAVID CAPACHO PINEDA"/>
    <n v="1020779282"/>
    <m/>
    <m/>
    <m/>
    <m/>
    <m/>
    <d v="1995-03-21T00:00:00"/>
    <n v="28"/>
    <n v="15223"/>
    <d v="2023-01-16T00:00:00"/>
    <n v="69000000"/>
    <m/>
    <m/>
    <m/>
    <n v="69000000"/>
    <s v="Si "/>
    <d v="2023-01-16T00:00:00"/>
    <s v="2 CUMPLIMIENTO"/>
    <d v="2023-01-16T00:00:00"/>
    <d v="2023-12-30T00:00:00"/>
    <n v="348"/>
    <s v="GUSTAVO ALBERTO PADILLA"/>
    <n v="19462757"/>
    <m/>
    <m/>
    <m/>
    <m/>
    <m/>
    <m/>
    <m/>
    <m/>
    <n v="69000000"/>
    <m/>
    <m/>
    <m/>
    <m/>
    <m/>
    <m/>
    <m/>
    <m/>
    <m/>
    <n v="348"/>
    <m/>
    <m/>
  </r>
  <r>
    <s v="UNIDAD ADMINISTRATIVA ESPECIAL MIGRACIÓN COLOMBIA"/>
    <s v="900477235-6"/>
    <s v="Secop II"/>
    <n v="1"/>
    <x v="1"/>
    <s v="20232401413000001E"/>
    <s v="PCD-018-2023-4COM"/>
    <x v="0"/>
    <x v="2"/>
    <s v="Contratación Directa"/>
    <s v="Prestación de Servicios Profesionales "/>
    <x v="4"/>
    <s v="CONTRATAR LA PRESTACIÓN DE LOS SERVICIOS PROFESIONALES PARA LA OFICINA DE COMUNICACIONES, REALIZANDO LA GENERACIÓN DE CONTENIDOS DIGITALES EXTERNOS, PRODUCCIÓN DE EVENTOS CON GOBIERNO, GENERACIÓN DE CONTENIDOS WEB Y DISEÑO DE CAMPAÑAS INSTITUCIONALES"/>
    <n v="80161504"/>
    <s v="Servicios de gestión, servicios profesionales de empresa y servicios administrativos"/>
    <n v="86250000"/>
    <n v="86250000"/>
    <n v="13923"/>
    <s v="A-02-02-02-008-003"/>
    <s v="Celebrado"/>
    <s v="En ejecución"/>
    <m/>
    <s v="CO-016-2023"/>
    <s v="Enero"/>
    <d v="2023-01-13T00:00:00"/>
    <s v="Prestación de Servicios Profesionales"/>
    <m/>
    <s v="Nivel Central"/>
    <s v="Bogotá D.C."/>
    <s v="WILLIAM ANDRES TELLEZ CHAVEZ"/>
    <n v="91517570"/>
    <m/>
    <m/>
    <m/>
    <m/>
    <m/>
    <m/>
    <n v="123"/>
    <n v="15123"/>
    <d v="2023-01-16T00:00:00"/>
    <n v="86250000"/>
    <m/>
    <m/>
    <m/>
    <n v="86250000"/>
    <s v="Si "/>
    <d v="2023-01-16T00:00:00"/>
    <s v="2 CUMPLIMIENTO"/>
    <d v="2023-01-16T00:00:00"/>
    <d v="2023-12-31T00:00:00"/>
    <n v="349"/>
    <s v="MARITZA ROCÍO SERRANO VILLAMIL"/>
    <n v="393757630"/>
    <m/>
    <m/>
    <m/>
    <m/>
    <m/>
    <m/>
    <m/>
    <m/>
    <n v="86250000"/>
    <m/>
    <m/>
    <m/>
    <m/>
    <m/>
    <m/>
    <m/>
    <m/>
    <m/>
    <n v="349"/>
    <m/>
    <m/>
  </r>
  <r>
    <s v="UNIDAD ADMINISTRATIVA ESPECIAL MIGRACIÓN COLOMBIA"/>
    <s v="900477235-6"/>
    <s v="Secop II"/>
    <n v="12"/>
    <x v="2"/>
    <s v="20232121413000004E"/>
    <s v="PCD-005-2023-6P"/>
    <x v="0"/>
    <x v="2"/>
    <s v="Contratación Directa"/>
    <s v="Prestación de Servicios Profesionales "/>
    <x v="1"/>
    <s v="PRESTACIÓN DE SERVICIOS PROFESIONALES CON AUTONOMÍA TÉCNICA Y ADMINISTRATIVA EN LA OFICINA ASESORA DE PLANEACIÓN PARA LA  INVESTIGACIÓN DE LAS CAUSAS Y CONSECUENCIAS SOBRE LOS FENÓMENOS Y DINÁMICA MIGRATORIA."/>
    <s v="80161500;801015;80121704;80101605;93141509;93141510"/>
    <s v="Servicios de apoyo gerencial"/>
    <n v="69000000"/>
    <n v="69000000"/>
    <n v="10423"/>
    <s v="C-1199-1002-11-0-1199054-02"/>
    <s v="Celebrado"/>
    <s v="En ejecución"/>
    <m/>
    <s v="CO-010-2023"/>
    <s v="Enero"/>
    <d v="2023-01-18T00:00:00"/>
    <s v="Prestación de Servicios Profesionales"/>
    <m/>
    <s v="Nivel Central"/>
    <s v="Bogotá D.C."/>
    <s v="MARÍA EUGENIA RESTREPO LONDOÑO"/>
    <n v="42867450"/>
    <m/>
    <s v="Sociología"/>
    <s v="NO"/>
    <m/>
    <m/>
    <n v="21273"/>
    <e v="#REF!"/>
    <n v="20023"/>
    <d v="2023-01-19T00:00:00"/>
    <n v="69000000"/>
    <m/>
    <m/>
    <m/>
    <n v="69000000"/>
    <s v="Si "/>
    <d v="2023-01-19T00:00:00"/>
    <s v="2 CUMPLIMIENTO"/>
    <d v="2023-01-20T00:00:00"/>
    <d v="2023-12-31T00:00:00"/>
    <n v="345"/>
    <s v="JORGE ENRIQUE GARCIA LONDOÑO"/>
    <n v="79276876"/>
    <m/>
    <m/>
    <m/>
    <m/>
    <m/>
    <m/>
    <m/>
    <m/>
    <e v="#REF!"/>
    <m/>
    <m/>
    <m/>
    <m/>
    <m/>
    <m/>
    <m/>
    <m/>
    <m/>
    <n v="345"/>
    <m/>
    <m/>
  </r>
  <r>
    <s v="UNIDAD ADMINISTRATIVA ESPECIAL MIGRACIÓN COLOMBIA"/>
    <s v="900477235-6"/>
    <s v="Secop II"/>
    <n v="9"/>
    <x v="2"/>
    <s v="20232121410000002E"/>
    <s v="PCD-006-2023-3P"/>
    <x v="0"/>
    <x v="2"/>
    <s v="Contratación Directa"/>
    <s v="Prestación de Servicios Profesionales "/>
    <x v="1"/>
    <s v="PRESTACIÓN DE SERVICIOS PROFESIONALES CON AUTONOMÍA TÉCNICA Y ADMINISTRATIVA A LA OFICINA ASESORA DE PLANEACIÓN, PARA LA IMPLEMENTACIÓN DE LA POLÍTICA DE GESTIÓN DE LA INFORMACIÓN ESTADÍSTICA DE LA ENTIDAD."/>
    <s v="80161500;80121704;80101605;81112006;81112007;811315"/>
    <s v="Servicios de apoyo gerencial"/>
    <n v="69000000"/>
    <n v="69000000"/>
    <n v="12323"/>
    <s v="C-1199-1002-11-0-1199054-02"/>
    <s v="Celebrado"/>
    <s v="En ejecución"/>
    <m/>
    <s v="CO-012-2023"/>
    <s v="Enero"/>
    <d v="2023-01-17T00:00:00"/>
    <s v="Prestación de Servicios Profesionales"/>
    <m/>
    <s v="Nivel Central"/>
    <s v="Bogotá D.C."/>
    <s v="ANDRES ALEJANDRO ORJUELA TRUJILLO"/>
    <n v="93461864"/>
    <m/>
    <s v="Matemático con énfasis en Estadística"/>
    <s v="NO"/>
    <m/>
    <m/>
    <n v="31076"/>
    <e v="#REF!"/>
    <n v="16523"/>
    <d v="2023-01-17T00:00:00"/>
    <n v="69000000"/>
    <m/>
    <m/>
    <m/>
    <n v="69000000"/>
    <s v="Si "/>
    <d v="2023-01-17T00:00:00"/>
    <s v="2 CUMPLIMIENTO"/>
    <d v="2023-01-18T00:00:00"/>
    <d v="2023-12-31T00:00:00"/>
    <n v="347"/>
    <s v="JORGE ENRIQUE GARCIA LONDOÑO"/>
    <n v="79276876"/>
    <m/>
    <m/>
    <m/>
    <m/>
    <m/>
    <m/>
    <m/>
    <m/>
    <e v="#REF!"/>
    <m/>
    <m/>
    <m/>
    <m/>
    <m/>
    <m/>
    <m/>
    <m/>
    <m/>
    <n v="347"/>
    <m/>
    <m/>
  </r>
  <r>
    <s v="UNIDAD ADMINISTRATIVA ESPECIAL MIGRACIÓN COLOMBIA"/>
    <s v="900477235-6"/>
    <s v="Secop II"/>
    <n v="14"/>
    <x v="2"/>
    <s v="20232121413000005E"/>
    <s v="PCD-013-2023-8P"/>
    <x v="0"/>
    <x v="2"/>
    <s v="Contratación Directa"/>
    <s v="Prestación de Servicios Profesionales "/>
    <x v="1"/>
    <s v="PRESTACIÓN DE SERVICIOS PROFESIONALES CON AUTONOMÍA TÉCNICA Y ADMINISTRATIVA EN LA OFICINA ASESORA DE PLANEACIÓN, PARA LA ATENCIÓN SOCIAL A LA POBLACIÓN MIGRANTE EN EL TERRITORIO NACIONAL."/>
    <s v="801615;80121704;80101605;93141507;93141503"/>
    <s v="Servicios de apoyo gerencial"/>
    <n v="57500000"/>
    <n v="57500000"/>
    <n v="11123"/>
    <s v="C-1199-1002-11-0-1199054-02"/>
    <s v="Celebrado"/>
    <s v="En ejecución"/>
    <m/>
    <s v="CO-011-2023"/>
    <s v="Enero"/>
    <d v="2023-01-17T00:00:00"/>
    <s v="Prestación de Servicios Profesionales"/>
    <m/>
    <s v="Nivel Central"/>
    <s v="Bogotá D.C."/>
    <s v="DEICY YOHANA PARADA PARDO"/>
    <n v="1019022177"/>
    <m/>
    <s v="Trabajadora Social"/>
    <s v="NO"/>
    <m/>
    <m/>
    <n v="32190"/>
    <e v="#REF!"/>
    <n v="16623"/>
    <d v="2023-01-17T00:00:00"/>
    <n v="57500000"/>
    <m/>
    <m/>
    <m/>
    <n v="57500000"/>
    <s v="Si "/>
    <d v="2023-01-19T00:00:00"/>
    <s v="2 CUMPLIMIENTO"/>
    <d v="2023-01-17T00:00:00"/>
    <d v="2023-12-31T00:00:00"/>
    <n v="348"/>
    <s v="JORGE ENRIQUE GARCIA LONDOÑO"/>
    <n v="79276876"/>
    <m/>
    <m/>
    <m/>
    <m/>
    <m/>
    <m/>
    <m/>
    <m/>
    <e v="#REF!"/>
    <m/>
    <m/>
    <m/>
    <m/>
    <m/>
    <m/>
    <m/>
    <m/>
    <m/>
    <n v="348"/>
    <m/>
    <m/>
  </r>
  <r>
    <s v="UNIDAD ADMINISTRATIVA ESPECIAL MIGRACIÓN COLOMBIA"/>
    <s v="900477235-6"/>
    <s v="Secop II"/>
    <n v="116"/>
    <x v="0"/>
    <s v="20236001413000003E"/>
    <s v="PCD-019-2023-2SG"/>
    <x v="0"/>
    <x v="2"/>
    <s v="Contratación Directa"/>
    <s v="Prestación de Servicios Profesionales "/>
    <x v="5"/>
    <s v="PRESTAR LOS SERVICIOS PROFESIONALES ESPECIALIZADOS CON AUTONOMÍA TÉCNICA Y ADMINISTRATIVA PARA APOYAR A LA SECRETARIA GENERAL DE MIGRACIÓN COLOMBIA DE ACUERDO CON LAS CONDICIONES SEÑALADAS Y ESPECIFICACIONES TÉCNICAS DESCRITAS EN LOS ESTUDIOS PREVIOS."/>
    <n v="80161504"/>
    <s v="Servicios de oficina"/>
    <n v="80000000"/>
    <n v="80000000"/>
    <n v="12823"/>
    <s v="A-02-02-02-008-003"/>
    <s v="Celebrado"/>
    <s v="En ejecución"/>
    <m/>
    <s v="CO-009-2023"/>
    <s v="Enero"/>
    <d v="2023-01-17T00:00:00"/>
    <s v="Prestación de Servicios Profesionales"/>
    <m/>
    <s v="Nivel Central"/>
    <s v="Bogotá D.C."/>
    <s v="LIZETH ISABOT CORTES  ESPITIA"/>
    <n v="1026271334"/>
    <s v="-"/>
    <s v="DERECHO"/>
    <s v="NO"/>
    <s v="No es mypime"/>
    <s v="N/A"/>
    <d v="1990-11-01T00:00:00"/>
    <n v="33"/>
    <n v="19323"/>
    <d v="2023-01-18T00:00:00"/>
    <n v="80000000"/>
    <m/>
    <m/>
    <m/>
    <n v="80000000"/>
    <s v="Si "/>
    <d v="2023-01-18T00:00:00"/>
    <s v="2 CUMPLIMIENTO"/>
    <d v="2023-01-19T00:00:00"/>
    <d v="2023-11-19T00:00:00"/>
    <n v="304"/>
    <s v="RIGOBERTO NIÑO CORREDOR"/>
    <n v="79321317"/>
    <m/>
    <m/>
    <m/>
    <m/>
    <m/>
    <m/>
    <m/>
    <m/>
    <n v="80000000"/>
    <m/>
    <m/>
    <m/>
    <m/>
    <m/>
    <m/>
    <m/>
    <m/>
    <m/>
    <n v="304"/>
    <m/>
    <m/>
  </r>
  <r>
    <s v="UNIDAD ADMINISTRATIVA ESPECIAL MIGRACIÓN COLOMBIA"/>
    <s v="900477235-6"/>
    <s v="Secop II"/>
    <n v="164"/>
    <x v="0"/>
    <s v="20236251413000001E"/>
    <s v="PCD-024-2023-46SYF"/>
    <x v="0"/>
    <x v="2"/>
    <s v="Contratación Directa"/>
    <s v="Prestación de Servicios Profesionales "/>
    <x v="3"/>
    <s v="PRESTACIÓN DE SERVICIOS PROFESIONALES CON AUTONOMÍA TÉCNICA Y ADMINISTRATIVA  EN TEMAS RELACIONADOS CON LA GESTIÓN DE CARTERA Y ESTRUCTURACIÓN DE PROCESOS,  AL GRUPO DE SOPORTE A LA GESTIÓN REGIONAL  DE LA  _x000a_SUBDIRECCIÓN ADMINISTRATIVA Y FINANCIERA,  DE ACUERDO CON LAS CONDICIONES Y ESPECIFICACIONES TÉCNICAS DESCRITAS EN LOS ESTUDIOS PREVIOS."/>
    <n v="80161504"/>
    <s v="Servicios de oficina"/>
    <n v="69000000"/>
    <n v="69000000"/>
    <n v="13723"/>
    <s v="A-02-02-02-008-003"/>
    <s v="Celebrado"/>
    <s v="En ejecución"/>
    <m/>
    <s v="CO-021-2023"/>
    <s v="Enero"/>
    <d v="2023-01-16T00:00:00"/>
    <s v="Prestación de Servicios Profesionales"/>
    <m/>
    <s v="Nivel Central"/>
    <s v="Bogotá D.C."/>
    <s v="EMIGDIO NEL TRIANA LOPEZ"/>
    <n v="19484940"/>
    <s v="-"/>
    <s v="CONTADURIA PÚBLICA"/>
    <s v="NO"/>
    <s v="No es mypime"/>
    <s v="N/A"/>
    <d v="1962-07-29T00:00:00"/>
    <n v="61"/>
    <n v="16423"/>
    <d v="2023-01-17T00:00:00"/>
    <n v="69000000"/>
    <m/>
    <m/>
    <m/>
    <n v="69000000"/>
    <s v="Si "/>
    <d v="2023-01-18T00:00:00"/>
    <s v="2 CUMPLIMIENTO"/>
    <d v="2023-01-18T00:00:00"/>
    <d v="2023-12-31T00:00:00"/>
    <n v="347"/>
    <s v="CLAUDIA PATRICIA APONTE BELEÑO"/>
    <n v="39759737"/>
    <m/>
    <m/>
    <m/>
    <m/>
    <m/>
    <m/>
    <m/>
    <m/>
    <n v="69000000"/>
    <m/>
    <m/>
    <m/>
    <m/>
    <m/>
    <m/>
    <m/>
    <m/>
    <m/>
    <n v="347"/>
    <m/>
    <m/>
  </r>
  <r>
    <s v="UNIDAD ADMINISTRATIVA ESPECIAL MIGRACIÓN COLOMBIA"/>
    <s v="900477235-6"/>
    <s v="Secop II"/>
    <n v="271"/>
    <x v="0"/>
    <s v="20235051413000001E"/>
    <s v="PCD-016-2023-1V"/>
    <x v="0"/>
    <x v="2"/>
    <s v="Contratación Directa"/>
    <s v="Prestación de Servicios Profesionales "/>
    <x v="6"/>
    <s v="PRESTACIÓN DE SERVICIOS PROFESIONALES CON AUTONOMÍA TÉCNICA Y ADMINISTRATIVA DE APOYO A LA SUBDIRECCIÓN DE VERIFICACIONES EN ASUNTOS DE ESTADÍSTICA Y VISUALIZACIÓN DE DATOS"/>
    <s v="81101508;80161504;80121704;81112002;"/>
    <s v="Ingeniería arquitectónica - Servicios de oficina - Servicios legales sobre contratos - Servicios de procesamiento o preparación de dato"/>
    <n v="69000000"/>
    <n v="69000000"/>
    <n v="4223"/>
    <s v="A-02-02-02-008-003"/>
    <s v="Celebrado"/>
    <s v="En ejecución"/>
    <m/>
    <s v="CO-008-2023"/>
    <s v="Enero"/>
    <d v="2023-01-16T00:00:00"/>
    <s v="Prestación de Servicios Profesionales"/>
    <m/>
    <s v="Nivel Central"/>
    <s v="Bogotá D.C."/>
    <s v="JOAQUÍN ANTONIO RODRÍGUEZ VILLEGAS"/>
    <n v="78750941"/>
    <s v="-"/>
    <s v="ESTADISTICA"/>
    <s v="NO"/>
    <s v="No es mypime"/>
    <s v="N/A"/>
    <d v="1976-11-13T00:00:00"/>
    <n v="47"/>
    <n v="15823"/>
    <d v="2023-01-16T00:00:00"/>
    <n v="69000000"/>
    <m/>
    <m/>
    <m/>
    <n v="69000000"/>
    <s v="Si "/>
    <d v="2023-01-16T00:00:00"/>
    <s v="2 CUMPLIMIENTO"/>
    <d v="2023-01-17T00:00:00"/>
    <d v="2023-12-31T00:00:00"/>
    <n v="348"/>
    <s v="JAIRO DANILO GUTIERREZ CASTILLO"/>
    <n v="7183645"/>
    <m/>
    <m/>
    <m/>
    <m/>
    <m/>
    <m/>
    <m/>
    <m/>
    <n v="69000000"/>
    <m/>
    <m/>
    <m/>
    <m/>
    <m/>
    <m/>
    <m/>
    <m/>
    <m/>
    <n v="348"/>
    <m/>
    <m/>
  </r>
  <r>
    <s v="UNIDAD ADMINISTRATIVA ESPECIAL MIGRACIÓN COLOMBIA"/>
    <s v="900477235-6"/>
    <s v="Secop II"/>
    <n v="205"/>
    <x v="3"/>
    <s v="20236221413000002E"/>
    <s v="PCD-011-2023-87SYF"/>
    <x v="0"/>
    <x v="2"/>
    <s v="Contratación Directa"/>
    <s v="Prestación de servicios Profesionales"/>
    <x v="7"/>
    <s v="Prestación de servicios profesionales con autonomía técnica y administrativa para la gestión transversal del modelo integrado de gestión de los procesos a cargo de la subdirección administrativa y financiera, en especial lo concerniente a la gestión documental de uaemc."/>
    <n v="80161500"/>
    <s v="Serv icios de Apoyo Gerencial."/>
    <n v="44000000"/>
    <n v="44000000"/>
    <n v="9723"/>
    <s v="C-1199-1002-8-0-1199018-02"/>
    <s v="Celebrado"/>
    <s v="En ejecución"/>
    <m/>
    <s v="CO-003-2023"/>
    <s v="Enero"/>
    <d v="2023-01-17T00:00:00"/>
    <s v="Prestación de Servicios Profesionales"/>
    <m/>
    <s v="Nivel Central "/>
    <s v="Bogotá D.C."/>
    <s v="FREDDY STEVE CAMARGO BARRETO"/>
    <n v="80880247"/>
    <m/>
    <m/>
    <m/>
    <m/>
    <m/>
    <m/>
    <n v="123"/>
    <n v="15523"/>
    <d v="2023-01-16T00:00:00"/>
    <n v="44000000"/>
    <m/>
    <m/>
    <m/>
    <n v="44000000"/>
    <s v="SI"/>
    <d v="2023-01-17T00:00:00"/>
    <s v="2 CUMPLIMIENTO"/>
    <d v="2023-01-19T00:00:00"/>
    <d v="2023-12-31T00:00:00"/>
    <n v="346"/>
    <s v="PEREZ ARISMENDI ANDREA"/>
    <n v="52808564"/>
    <m/>
    <m/>
    <m/>
    <m/>
    <m/>
    <m/>
    <m/>
    <m/>
    <n v="44000000"/>
    <m/>
    <m/>
    <m/>
    <m/>
    <m/>
    <m/>
    <m/>
    <m/>
    <m/>
    <n v="346"/>
    <m/>
    <m/>
  </r>
  <r>
    <s v="UNIDAD ADMINISTRATIVA ESPECIAL MIGRACIÓN COLOMBIA"/>
    <s v="900477235-6"/>
    <s v="Secop II"/>
    <n v="204"/>
    <x v="3"/>
    <s v="20236221413000001E"/>
    <s v="PCD-014-2023-86SYF"/>
    <x v="0"/>
    <x v="2"/>
    <s v="Contratación Directa"/>
    <s v="Prestación de servicios Profesionales"/>
    <x v="7"/>
    <s v="Prestación de serv icios profesionales con autonomía técnica y administrativ a en el proceso de gestión documental dando cumplimiento a lo establecido por el archivo general de la nación y las necesidades de la uaemc."/>
    <n v="80161500"/>
    <s v="Serv icios de Apoyo Gerencial."/>
    <n v="92000000"/>
    <n v="92000000"/>
    <n v="12423"/>
    <s v="C-1199-1002-8-0-1199018-02"/>
    <s v="Celebrado"/>
    <s v="En ejecución"/>
    <m/>
    <s v="CO-004-2023"/>
    <s v="Enero"/>
    <d v="2023-01-17T00:00:00"/>
    <s v="Prestación de Servicios Profesionales"/>
    <m/>
    <s v="Nivel Central "/>
    <s v="Bogotá D.C."/>
    <s v="MARIA FERNANDA AGUIRRE GARZÓN"/>
    <n v="1022367781"/>
    <m/>
    <m/>
    <m/>
    <m/>
    <m/>
    <m/>
    <n v="123"/>
    <n v="15623"/>
    <d v="2023-01-16T00:00:00"/>
    <n v="92000000"/>
    <m/>
    <m/>
    <m/>
    <n v="92000000"/>
    <s v="SI"/>
    <d v="2023-01-17T00:00:00"/>
    <s v="2 CUMPLIMIENTO"/>
    <d v="2023-01-18T00:00:00"/>
    <d v="2023-12-31T00:00:00"/>
    <n v="347"/>
    <s v="PEREZ ARISMENDI ANDREA"/>
    <n v="52808564"/>
    <m/>
    <m/>
    <m/>
    <m/>
    <m/>
    <m/>
    <m/>
    <m/>
    <n v="92000000"/>
    <m/>
    <m/>
    <m/>
    <m/>
    <m/>
    <m/>
    <m/>
    <m/>
    <m/>
    <n v="347"/>
    <m/>
    <m/>
  </r>
  <r>
    <s v="UNIDAD ADMINISTRATIVA ESPECIAL MIGRACIÓN COLOMBIA"/>
    <s v="900477235-6"/>
    <s v="Secop II"/>
    <n v="209"/>
    <x v="3"/>
    <s v="20236211413000003E"/>
    <s v="PCD-023-2023-91SYF"/>
    <x v="0"/>
    <x v="2"/>
    <s v="Contratación Directa"/>
    <s v="Prestación de servicios Profesionales"/>
    <x v="8"/>
    <s v="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
    <n v="80161500"/>
    <s v="Serv icios de Apoyo Gerencial."/>
    <n v="120750000"/>
    <n v="120750000"/>
    <n v="10723"/>
    <s v=" C -1103-1002-2-0-1103002-02"/>
    <s v="Celebrado"/>
    <s v="En ejecución"/>
    <m/>
    <s v="CO-015-2023"/>
    <s v="Enero"/>
    <d v="2023-01-16T00:00:00"/>
    <s v="Prestación de Servicios Profesionales"/>
    <m/>
    <s v="Nivel Central "/>
    <s v="Bogotá D.C."/>
    <s v="SANDRA MILENA MORENO ACEVEDO"/>
    <n v="52355684"/>
    <m/>
    <m/>
    <m/>
    <m/>
    <m/>
    <m/>
    <n v="123"/>
    <n v="15723"/>
    <d v="2023-01-16T00:00:00"/>
    <n v="120750000"/>
    <m/>
    <m/>
    <m/>
    <n v="120750000"/>
    <s v="SI"/>
    <d v="2023-01-17T00:00:00"/>
    <s v="2 CUMPLIMIENTO"/>
    <d v="2023-01-17T00:00:00"/>
    <d v="2023-12-31T00:00:00"/>
    <n v="348"/>
    <s v="PEREZ ARISMENDI ANDREA"/>
    <n v="52808564"/>
    <m/>
    <m/>
    <m/>
    <m/>
    <m/>
    <m/>
    <m/>
    <m/>
    <n v="120750000"/>
    <m/>
    <m/>
    <m/>
    <m/>
    <m/>
    <m/>
    <m/>
    <m/>
    <m/>
    <n v="348"/>
    <m/>
    <m/>
  </r>
  <r>
    <s v="UNIDAD ADMINISTRATIVA ESPECIAL MIGRACIÓN COLOMBIA"/>
    <s v="900477235-6"/>
    <s v="Secop II"/>
    <n v="98"/>
    <x v="1"/>
    <s v="20232501413000011E"/>
    <s v="PCD-025-2023-60TEC"/>
    <x v="0"/>
    <x v="3"/>
    <s v="Contratación Directa"/>
    <s v="Prestación de Servicios Profesionales "/>
    <x v="2"/>
    <s v="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
    <n v="80161500"/>
    <s v="Servicios de gestión, servicios profesionales de empresa y servicios administrativos"/>
    <n v="86250000"/>
    <n v="86250000"/>
    <n v="13223"/>
    <s v="C-1199-1002-10-0-1199001-02"/>
    <s v="Celebrado"/>
    <s v="En ejecución"/>
    <m/>
    <s v="CO-023-2023"/>
    <s v="Enero"/>
    <d v="2023-01-18T00:00:00"/>
    <s v="Prestación de Servicios Profesionales"/>
    <m/>
    <s v="Nivel Central"/>
    <s v="Bogotá D.C."/>
    <s v="SERGIO ALEJANDRO ROMERO SARMIENTO"/>
    <n v="1010218162"/>
    <m/>
    <m/>
    <m/>
    <m/>
    <m/>
    <m/>
    <n v="123"/>
    <n v="19223"/>
    <d v="2023-01-18T00:00:00"/>
    <n v="86250000"/>
    <m/>
    <m/>
    <m/>
    <n v="86250000"/>
    <s v="Si "/>
    <d v="2023-01-18T00:00:00"/>
    <s v="2 CUMPLIMIENTO"/>
    <d v="2023-01-18T00:00:00"/>
    <d v="2023-12-31T00:00:00"/>
    <n v="347"/>
    <s v="DIEGO EMILIO OJEDA MONCAYO"/>
    <n v="19498970"/>
    <m/>
    <m/>
    <m/>
    <m/>
    <m/>
    <m/>
    <m/>
    <m/>
    <n v="86250000"/>
    <m/>
    <m/>
    <m/>
    <m/>
    <m/>
    <m/>
    <m/>
    <m/>
    <m/>
    <n v="347"/>
    <m/>
    <m/>
  </r>
  <r>
    <s v="UNIDAD ADMINISTRATIVA ESPECIAL MIGRACIÓN COLOMBIA"/>
    <s v="900477235-6"/>
    <s v="Secop II"/>
    <n v="30"/>
    <x v="1"/>
    <s v="20232401413000004E"/>
    <s v="PCD-027-2023-2COM"/>
    <x v="0"/>
    <x v="3"/>
    <s v="Contratación Directa"/>
    <s v="Prestacion de Servicios de Apoyo a la Gestion"/>
    <x v="4"/>
    <s v="Contratar la prestación de los servicios técnicos y administrativos como apoyo a la gestión de la Oficina de Comunicaciones para el manejo de las redes sociales de la entidad."/>
    <n v="80161504"/>
    <s v="Servicios de gestión, servicios profesionales de empresa y servicios administrativos"/>
    <n v="63250000"/>
    <n v="63250000"/>
    <n v="13523"/>
    <s v="A-02-02-02-008-003"/>
    <s v="Celebrado"/>
    <s v="En ejecución"/>
    <m/>
    <s v="CO-024-2023"/>
    <s v="Enero"/>
    <d v="2023-01-18T00:00:00"/>
    <s v="Prestacion de Servicios de Apoyo a la Gestion"/>
    <m/>
    <s v="Nivel Central"/>
    <s v="Bogotá D.C."/>
    <s v="JAVIER ENRIQUE GONZÁLEZ GONZÁLEZ"/>
    <n v="79865008"/>
    <m/>
    <m/>
    <m/>
    <m/>
    <m/>
    <m/>
    <n v="123"/>
    <n v="18723"/>
    <d v="2023-01-18T00:00:00"/>
    <n v="63250000"/>
    <m/>
    <m/>
    <m/>
    <n v="63250000"/>
    <s v="Si "/>
    <d v="2023-01-18T00:00:00"/>
    <s v="2 CUMPLIMIENTO"/>
    <d v="2023-01-18T00:00:00"/>
    <d v="2023-12-31T00:00:00"/>
    <n v="347"/>
    <s v="MARITZA ROCÍO SERRANO VILLAMIL"/>
    <n v="393757630"/>
    <m/>
    <m/>
    <m/>
    <m/>
    <m/>
    <m/>
    <m/>
    <m/>
    <n v="63250000"/>
    <m/>
    <m/>
    <m/>
    <m/>
    <m/>
    <m/>
    <m/>
    <m/>
    <m/>
    <n v="347"/>
    <m/>
    <m/>
  </r>
  <r>
    <s v="UNIDAD ADMINISTRATIVA ESPECIAL MIGRACIÓN COLOMBIA"/>
    <s v="900477235-6"/>
    <s v="Secop II"/>
    <n v="2"/>
    <x v="2"/>
    <s v="20236011413000001E"/>
    <s v="PCD-029-2023-2D"/>
    <x v="0"/>
    <x v="3"/>
    <s v="Contratación Directa"/>
    <s v="Prestación de Servicios Profesionales "/>
    <x v="1"/>
    <s v="PRESTACIÖN DE SERVICIOS PROFESIONALES CON AUTONOMÍA TÉCNICA Y ADMINISTRATIVA PARA APOYAR LA GESTIÓN DE LA DIRECCIÓN GENERAL DE MIGRACIÓN COLOMBIA, DE ACUERDO CON LAS CONDICIONES SEÑALADAS Y ESPECIFICACIONES TÉCNICAS DESCRITAS EN LOS ESTUDIOS PREVIOS."/>
    <s v="80161504"/>
    <s v="Servicios de oficina"/>
    <n v="71500000"/>
    <n v="71500000"/>
    <n v="11323"/>
    <s v="A-02-02-02-008-003"/>
    <s v="Celebrado"/>
    <s v="En ejecución"/>
    <m/>
    <s v="CO-014-2023"/>
    <s v="Enero"/>
    <d v="2023-01-17T00:00:00"/>
    <s v="Prestación de Servicios Profesionales"/>
    <m/>
    <s v="Nivel Central"/>
    <s v="Bogotá D.C."/>
    <s v="ADRIANA MARCELA ROSAS SUAREZ "/>
    <n v="1026262941"/>
    <m/>
    <s v="GOBIERNO Y RELACIONES INTERNACIONALES"/>
    <s v="NO"/>
    <m/>
    <m/>
    <n v="32243"/>
    <e v="#REF!"/>
    <n v="17423"/>
    <d v="2023-01-17T00:00:00"/>
    <n v="71500000"/>
    <m/>
    <m/>
    <m/>
    <n v="71500000"/>
    <s v="Si "/>
    <d v="2023-01-19T00:00:00"/>
    <s v="2 CUMPLIMIENTO"/>
    <d v="2023-01-19T00:00:00"/>
    <d v="2023-12-31T00:00:00"/>
    <n v="346"/>
    <s v="MARÍA PAULA AVILA GONZALEZ"/>
    <n v="52619262"/>
    <m/>
    <m/>
    <m/>
    <m/>
    <m/>
    <m/>
    <m/>
    <m/>
    <e v="#REF!"/>
    <m/>
    <m/>
    <m/>
    <m/>
    <m/>
    <m/>
    <m/>
    <m/>
    <m/>
    <n v="346"/>
    <m/>
    <m/>
  </r>
  <r>
    <s v="UNIDAD ADMINISTRATIVA ESPECIAL MIGRACIÓN COLOMBIA"/>
    <s v="900477235-6"/>
    <s v="Secop II"/>
    <n v="207"/>
    <x v="3"/>
    <s v="20236211413000004E"/>
    <s v="PCD-032-2023-89SYF"/>
    <x v="0"/>
    <x v="3"/>
    <s v="Contratación Directa"/>
    <s v="Prestación de servicios Profesionales"/>
    <x v="8"/>
    <s v="Prestar los servicios profesionales con autonomía técnica y administrativa dentro del grupo de gestión administrativa, en lo relacionado con la etapa precontractual, así como la evaluación de procesos de infraestructura"/>
    <n v="80161500"/>
    <s v="Serv icios de Apoyo Gerencial."/>
    <n v="69000000"/>
    <n v="69000000"/>
    <n v="10823"/>
    <s v="C-1103-1002-2-0-1103002-02"/>
    <s v="Celebrado"/>
    <s v="En ejecución"/>
    <m/>
    <s v="CO-017-2023"/>
    <s v="Enero"/>
    <d v="2023-01-16T00:00:00"/>
    <s v="Prestación de Servicios Profesionales"/>
    <m/>
    <s v="Nivel Central "/>
    <s v="Bogotá D.C."/>
    <s v="HERNANDO ERNESTO GONZÁLEZ ATUESTA"/>
    <n v="79463678"/>
    <m/>
    <m/>
    <m/>
    <m/>
    <m/>
    <m/>
    <n v="123"/>
    <n v="16723"/>
    <d v="2023-01-17T00:00:00"/>
    <n v="69000000"/>
    <m/>
    <m/>
    <m/>
    <n v="69000000"/>
    <s v="SI"/>
    <d v="2023-01-18T00:00:00"/>
    <s v="2 CUMPLIMIENTO"/>
    <d v="2023-01-18T00:00:00"/>
    <d v="2023-12-31T00:00:00"/>
    <n v="347"/>
    <s v="CAMARGO SEGURA ELIANA CRISTINA"/>
    <n v="52452907"/>
    <m/>
    <m/>
    <m/>
    <m/>
    <m/>
    <m/>
    <m/>
    <m/>
    <n v="69000000"/>
    <m/>
    <m/>
    <m/>
    <m/>
    <m/>
    <m/>
    <m/>
    <m/>
    <m/>
    <n v="347"/>
    <m/>
    <m/>
  </r>
  <r>
    <s v="UNIDAD ADMINISTRATIVA ESPECIAL MIGRACIÓN COLOMBIA"/>
    <s v="900477235-6"/>
    <s v="Secop II"/>
    <n v="56"/>
    <x v="1"/>
    <s v="20232501413000012E"/>
    <s v="PCD-020-2023-12TEC"/>
    <x v="0"/>
    <x v="4"/>
    <s v="Contratación Directa"/>
    <s v="Prestación de Servicios Profesionales "/>
    <x v="2"/>
    <s v="Contratar la prestación de los servicios profesionales para administrar el centro de datos de la unidad_x000a_administrativa especial Migración Colombia."/>
    <n v="81111800"/>
    <s v="Servicios Basados en Ingeniería, Investigación y Tecnología"/>
    <n v="115000000"/>
    <n v="115000000"/>
    <n v="13123"/>
    <s v="C-1199-1002-10-0-1199001-02"/>
    <s v="Celebrado"/>
    <s v="En ejecución"/>
    <m/>
    <s v="CO-027-2023"/>
    <s v="Enero"/>
    <d v="2023-01-18T00:00:00"/>
    <s v="Prestación de Servicios Profesionales"/>
    <m/>
    <s v="Nivel Central"/>
    <s v="Bogotá D.C."/>
    <s v="JAIME ALEXANDER MÉNDEZ PULECIO"/>
    <n v="1010218162"/>
    <m/>
    <m/>
    <m/>
    <m/>
    <m/>
    <m/>
    <n v="123"/>
    <n v="19123"/>
    <d v="2023-01-18T00:00:00"/>
    <n v="115000000"/>
    <m/>
    <m/>
    <m/>
    <n v="115000000"/>
    <s v="Si "/>
    <d v="2023-01-18T00:00:00"/>
    <s v="2 CUMPLIMIENTO"/>
    <d v="2023-01-18T00:00:00"/>
    <d v="2023-12-31T00:00:00"/>
    <n v="347"/>
    <s v="DIEGO EMILIO OJEDA MONCAYO"/>
    <n v="19498970"/>
    <m/>
    <m/>
    <m/>
    <m/>
    <m/>
    <m/>
    <m/>
    <m/>
    <n v="115000000"/>
    <m/>
    <m/>
    <m/>
    <m/>
    <m/>
    <m/>
    <m/>
    <m/>
    <m/>
    <n v="347"/>
    <m/>
    <m/>
  </r>
  <r>
    <s v="UNIDAD ADMINISTRATIVA ESPECIAL MIGRACIÓN COLOMBIA"/>
    <s v="900477235-6"/>
    <s v="Secop II"/>
    <n v="22"/>
    <x v="2"/>
    <s v="20232241413000001E"/>
    <s v="PCD-030-2023-2J"/>
    <x v="0"/>
    <x v="4"/>
    <s v="Contratación Directa"/>
    <s v="Prestación de Servicios Profesionales "/>
    <x v="9"/>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s v="80121704;80161504"/>
    <s v="Servicios legales sobre contratos"/>
    <n v="55000000"/>
    <n v="55000000"/>
    <n v="10023"/>
    <s v="A-02-02-02-008-003"/>
    <s v="Celebrado"/>
    <s v="En ejecución"/>
    <m/>
    <s v="CO-020-2023"/>
    <s v="Enero"/>
    <d v="2023-01-18T00:00:00"/>
    <s v="Prestación de Servicios Profesionales"/>
    <m/>
    <s v="Nivel Central"/>
    <s v="Bogotá D.C."/>
    <s v="MYRIAM BUITRAGO ESPITIA"/>
    <n v="24018748"/>
    <m/>
    <s v="DERECHO"/>
    <s v="NO"/>
    <m/>
    <m/>
    <n v="29011"/>
    <e v="#REF!"/>
    <n v="20623"/>
    <d v="2023-01-19T00:00:00"/>
    <n v="55000000"/>
    <m/>
    <m/>
    <m/>
    <n v="55000000"/>
    <s v="Si "/>
    <d v="2023-01-19T00:00:00"/>
    <s v="2 CUMPLIMIENTO"/>
    <d v="2023-01-23T00:00:00"/>
    <d v="2023-12-31T00:00:00"/>
    <n v="342"/>
    <s v="CARLOS JULIO AVILA CORONEL"/>
    <n v="79279880"/>
    <m/>
    <m/>
    <m/>
    <m/>
    <m/>
    <m/>
    <m/>
    <m/>
    <e v="#REF!"/>
    <m/>
    <m/>
    <m/>
    <m/>
    <m/>
    <m/>
    <m/>
    <m/>
    <m/>
    <n v="342"/>
    <m/>
    <m/>
  </r>
  <r>
    <s v="UNIDAD ADMINISTRATIVA ESPECIAL MIGRACIÓN COLOMBIA"/>
    <s v="900477235-6"/>
    <s v="Secop II"/>
    <n v="17"/>
    <x v="2"/>
    <s v="20232121413000003E"/>
    <s v="PCD-031-2023-11P"/>
    <x v="0"/>
    <x v="4"/>
    <s v="Contratación Directa"/>
    <s v="Prestación de Servicios Profesionales "/>
    <x v="1"/>
    <s v="PRESTACIÓN DE SERVICIOS PROFESIONALES CON AUTONOMÍA TÉCNICA Y ADMINISTRATIVA, EN LA OFICINA ASESORA DE PLANEACIÓN PARA EL MONITOREO Y SEGUIMIENTO DOCUMENTAL  DE ACUERDO CON LAS CONDICIONES SEÑALADAS Y ESPECIFICACIONES DESCRITAS EN LOS ESTUDIOS PREVIOS."/>
    <s v="801615;8012170;80101605;93121600"/>
    <s v=" Servicios de apoyo gerencial"/>
    <n v="57500000"/>
    <n v="57500000"/>
    <n v="10523"/>
    <s v="C-1199-1002-11-0-1199054-02"/>
    <s v="Celebrado"/>
    <s v="En ejecución"/>
    <m/>
    <s v="CO-013-2023"/>
    <s v="Enero"/>
    <d v="2023-01-18T00:00:00"/>
    <s v="Prestación de Servicios Profesionales"/>
    <m/>
    <s v="Nivel Central"/>
    <s v="Bogotá D.C."/>
    <s v="SANDRA MARCELA CAJAMARCA GUZMAN"/>
    <n v="1010167732"/>
    <m/>
    <s v="Relaciones Internacionales y Estudios Políticos"/>
    <s v="NO"/>
    <m/>
    <m/>
    <n v="31711"/>
    <e v="#REF!"/>
    <n v="19723"/>
    <d v="2023-01-19T00:00:00"/>
    <n v="57500000"/>
    <m/>
    <m/>
    <m/>
    <n v="57500000"/>
    <s v="Si "/>
    <d v="2023-01-19T00:00:00"/>
    <s v="2 CUMPLIMIENTO"/>
    <d v="2023-01-20T00:00:00"/>
    <d v="2023-12-31T00:00:00"/>
    <n v="345"/>
    <s v="JORGE ENRIQUE GARCIA LONDOÑO"/>
    <n v="79276876"/>
    <m/>
    <m/>
    <m/>
    <m/>
    <m/>
    <m/>
    <m/>
    <m/>
    <e v="#REF!"/>
    <m/>
    <m/>
    <m/>
    <m/>
    <m/>
    <m/>
    <m/>
    <m/>
    <m/>
    <n v="345"/>
    <m/>
    <m/>
  </r>
  <r>
    <s v="UNIDAD ADMINISTRATIVA ESPECIAL MIGRACIÓN COLOMBIA"/>
    <s v="900477235-6"/>
    <s v="Secop II"/>
    <n v="53"/>
    <x v="1"/>
    <s v="20232501413000009E"/>
    <s v="PCD-009-2023-9TEC"/>
    <x v="0"/>
    <x v="5"/>
    <s v="Contratación Directa"/>
    <s v="Prestación de Servicios Profesionales "/>
    <x v="2"/>
    <s v="Contratar la prestación de los servicios profesionales para administrar y desarrollar funcionalidades en el bus de datos Oracle"/>
    <n v="81111500"/>
    <s v="Servicios Basados en Ingeniería, Investigación y Tecnología"/>
    <n v="57500000"/>
    <n v="57500000"/>
    <n v="10923"/>
    <s v="C-1199-1002-10-0-1199001-02"/>
    <s v="Celebrado"/>
    <s v="En ejecución"/>
    <m/>
    <s v="CO-039-2023"/>
    <s v="Enero"/>
    <d v="2023-01-20T00:00:00"/>
    <s v="Prestación de Servicios Profesionales"/>
    <m/>
    <s v="Nivel Central"/>
    <s v="Bogotá D.C."/>
    <s v="ANA JOHANA CAMELO BARRERA"/>
    <n v="53075439"/>
    <m/>
    <m/>
    <m/>
    <m/>
    <m/>
    <m/>
    <n v="123"/>
    <n v="21323"/>
    <d v="2023-01-20T00:00:00"/>
    <n v="57500000"/>
    <m/>
    <m/>
    <m/>
    <n v="57500000"/>
    <s v="Si "/>
    <d v="2023-01-20T00:00:00"/>
    <s v="2 CUMPLIMIENTO"/>
    <d v="2023-01-23T00:00:00"/>
    <d v="2023-12-31T00:00:00"/>
    <n v="342"/>
    <s v="DIEGO EMILIO OJEDA MONCAYO"/>
    <n v="19498970"/>
    <m/>
    <m/>
    <m/>
    <m/>
    <m/>
    <m/>
    <m/>
    <m/>
    <n v="57500000"/>
    <m/>
    <m/>
    <m/>
    <m/>
    <m/>
    <m/>
    <m/>
    <m/>
    <m/>
    <n v="342"/>
    <m/>
    <m/>
  </r>
  <r>
    <s v="UNIDAD ADMINISTRATIVA ESPECIAL MIGRACIÓN COLOMBIA"/>
    <s v="900477235-6"/>
    <s v="Secop II"/>
    <n v="23"/>
    <x v="2"/>
    <s v="20232241413000003E"/>
    <s v="PCD-028-2023-3J"/>
    <x v="0"/>
    <x v="5"/>
    <s v="Contratación Directa"/>
    <s v="Prestación de Servicios Profesionales "/>
    <x v="0"/>
    <s v="PRESTACIÓN DE SERVICIOS PROFESIONALES CON AUTONOMÍA TÉCNICA Y ADMINISTRATIVA A LA OFICINA ASESORA DE PLANEACIÓN, PARA LA IMPLEMENTACIÓN DE LA POLÍTICA DE GESTIÓN DE LA INFORMACIÓN ESTADÍSTICA DE LA ENTIDAD."/>
    <s v="81101508;80161500;80161504;80121704"/>
    <s v=" Ingeniería civil y arquitectura"/>
    <n v="46000000"/>
    <n v="46000000"/>
    <n v="9823"/>
    <s v="A-02-02-02-008-003"/>
    <s v="Celebrado"/>
    <s v="En ejecución"/>
    <m/>
    <s v="CO-019-2023"/>
    <s v="Enero"/>
    <d v="2023-01-19T00:00:00"/>
    <s v="Prestación de Servicios Profesionales"/>
    <m/>
    <s v="Nivel Central"/>
    <s v="Bogotá D.C."/>
    <s v="ADRIANA CAROLINA MAESTRE SOLANO"/>
    <n v="1065827686"/>
    <m/>
    <s v="DERECHO"/>
    <s v="NO"/>
    <m/>
    <m/>
    <n v="35315"/>
    <e v="#REF!"/>
    <n v="20223"/>
    <d v="2023-01-19T00:00:00"/>
    <n v="46000000"/>
    <m/>
    <m/>
    <m/>
    <n v="46000000"/>
    <s v="Si "/>
    <d v="2023-01-19T00:00:00"/>
    <s v="2 CUMPLIMIENTO"/>
    <d v="2023-01-19T00:00:00"/>
    <d v="2023-12-31T00:00:00"/>
    <n v="346"/>
    <s v="CARLOS JULIO AVILA CORONEL"/>
    <n v="79279880"/>
    <m/>
    <m/>
    <m/>
    <m/>
    <m/>
    <m/>
    <m/>
    <m/>
    <e v="#REF!"/>
    <m/>
    <m/>
    <m/>
    <m/>
    <m/>
    <m/>
    <m/>
    <m/>
    <m/>
    <n v="346"/>
    <m/>
    <m/>
  </r>
  <r>
    <s v="UNIDAD ADMINISTRATIVA ESPECIAL MIGRACIÓN COLOMBIA"/>
    <s v="900477235-6"/>
    <s v="Secop II"/>
    <n v="47"/>
    <x v="4"/>
    <s v="20232501413000003E"/>
    <s v="PCD-022-2023-3TEC"/>
    <x v="0"/>
    <x v="5"/>
    <s v="contratacion directa "/>
    <s v="prestacion de servicios profesionales"/>
    <x v="10"/>
    <s v="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
    <s v="81-11-15"/>
    <s v="Servicios Basados en Ingeniería, Investigación y Tecnología -Servicios informáticos-Ingeniería de software o hardware"/>
    <n v="103500000"/>
    <n v="103500000"/>
    <n v="11623"/>
    <s v="C-1199-1002-10-0-1199001-02"/>
    <s v="Celebrado"/>
    <s v="En ejecución"/>
    <m/>
    <s v="CO-031-2023"/>
    <s v="Enero"/>
    <d v="2023-01-20T00:00:00"/>
    <s v="Prestación de Servicios Profesionales"/>
    <m/>
    <s v="Nivel Central"/>
    <s v="Bogotá D.C."/>
    <s v="JORGE ALBERTO TIBADUIZA RINCON"/>
    <n v="1053512616"/>
    <m/>
    <m/>
    <m/>
    <m/>
    <m/>
    <m/>
    <n v="123"/>
    <n v="21923"/>
    <d v="2023-01-20T00:00:00"/>
    <n v="103500000"/>
    <m/>
    <m/>
    <m/>
    <n v="103500000"/>
    <s v="SI"/>
    <d v="2023-01-19T00:00:00"/>
    <s v="2 CUMPLIMIENTO"/>
    <d v="2023-01-20T00:00:00"/>
    <d v="2023-12-31T00:00:00"/>
    <n v="345"/>
    <s v="DIEGO EMILIO OJEDA MONCAYO"/>
    <n v="19498970"/>
    <m/>
    <m/>
    <m/>
    <m/>
    <m/>
    <m/>
    <m/>
    <m/>
    <n v="103500000"/>
    <m/>
    <m/>
    <m/>
    <m/>
    <m/>
    <m/>
    <m/>
    <m/>
    <m/>
    <n v="345"/>
    <m/>
    <m/>
  </r>
  <r>
    <s v="UNIDAD ADMINISTRATIVA ESPECIAL MIGRACIÓN COLOMBIA"/>
    <s v="900477235-6"/>
    <s v="Secop II"/>
    <n v="46"/>
    <x v="4"/>
    <s v="20232501413000002E"/>
    <s v="PCD-021-2023-2TEC"/>
    <x v="0"/>
    <x v="5"/>
    <s v="contratacion directa "/>
    <s v="prestacion de servicios profesionales"/>
    <x v="10"/>
    <s v="Contratar la prestación de los servicios profesionales en las actividades propias de levantamiento, especificaciónde requerimientos, pruebas y capacitación para el desarrollo de los sistemas de información de Migración Colombia"/>
    <s v="81-11-15"/>
    <s v="Servicios Basados en Ingeniería, Investigación y Tecnología -Servicios informáticos-Ingeniería de software o hardware"/>
    <n v="103500000"/>
    <n v="103500000"/>
    <n v="11523"/>
    <s v="C-1199-1002-10-0-1199001-02"/>
    <s v="Celebrado"/>
    <s v="En ejecución"/>
    <m/>
    <s v="CO-026-2023"/>
    <s v="Enero"/>
    <d v="2023-01-19T00:00:00"/>
    <s v="Prestación de Servicios Profesionales"/>
    <m/>
    <s v="Nivel Central"/>
    <s v="Bogotá D.C."/>
    <s v="DEISSY YOHANA NEITA NUVAN"/>
    <n v="1058038192"/>
    <m/>
    <m/>
    <m/>
    <m/>
    <m/>
    <m/>
    <n v="123"/>
    <n v="20323"/>
    <d v="2023-01-19T00:00:00"/>
    <n v="103500000"/>
    <m/>
    <m/>
    <m/>
    <n v="103500000"/>
    <s v="SI"/>
    <d v="2023-01-18T00:00:00"/>
    <s v="2 CUMPLIMIENTO"/>
    <d v="2023-01-19T00:00:00"/>
    <d v="2023-12-31T00:00:00"/>
    <n v="346"/>
    <s v="DIEGO EMILIO OJEDA MONCAYO"/>
    <n v="19498970"/>
    <m/>
    <m/>
    <m/>
    <m/>
    <m/>
    <m/>
    <m/>
    <m/>
    <n v="103500000"/>
    <m/>
    <m/>
    <m/>
    <m/>
    <m/>
    <m/>
    <m/>
    <m/>
    <m/>
    <n v="346"/>
    <m/>
    <m/>
  </r>
  <r>
    <s v="UNIDAD ADMINISTRATIVA ESPECIAL MIGRACIÓN COLOMBIA"/>
    <s v="900477235-6"/>
    <s v="Secop II"/>
    <n v="115"/>
    <x v="4"/>
    <s v="20236001413000002E"/>
    <s v="PCD-012-2023-1SG"/>
    <x v="0"/>
    <x v="5"/>
    <s v="contratacion directa "/>
    <s v="prestacion de servicios profesionales"/>
    <x v="5"/>
    <s v="PRESTAR LOS SERVICIOS PROFESIONALES ESPECIALIZADOS CON AUTONOMÍA TÉCNICA Y ADMINISTRATIVA PARA EL APOYO Y ACOMPAÑAMIENTO A LA SECRETARIA GENERAL EN TEMAS RELACIONADOS CON LAS COMUNICACIONES DE LA UNIDAD ADMINISTRATIVA ESPECIAL MIGRACIÓN COLOMBIA"/>
    <s v="80-16-15-04"/>
    <s v="Servicios de Gestión, Servicios Profesionales de Empresa y Servicios Administrativos- Servicios de Administración de Empresas- Servicios de Apoyo Gerencial- Servicios de oficina"/>
    <n v="80000000"/>
    <n v="80000000"/>
    <n v="12923"/>
    <s v="A-02-02-02-008-003"/>
    <s v="Celebrado"/>
    <s v="En ejecución"/>
    <m/>
    <s v="CO-025-2023"/>
    <s v="Enero"/>
    <d v="2023-01-23T00:00:00"/>
    <s v="Prestación de Servicios Profesionales"/>
    <m/>
    <s v="Nivel Central"/>
    <s v="Bogotá D.C."/>
    <s v="HÉCTOR PINILLA"/>
    <n v="79470333"/>
    <m/>
    <m/>
    <m/>
    <m/>
    <m/>
    <m/>
    <n v="123"/>
    <n v="22423"/>
    <d v="2023-01-23T00:00:00"/>
    <n v="80000000"/>
    <m/>
    <m/>
    <m/>
    <n v="80000000"/>
    <s v="SI"/>
    <d v="2023-01-24T00:00:00"/>
    <s v="2 CUMPLIMIENTO"/>
    <d v="2023-01-23T00:00:00"/>
    <d v="2023-11-20T00:00:00"/>
    <n v="301"/>
    <s v="MARITZA ROCÍO SERRANO VILLAMIL"/>
    <n v="393757630"/>
    <m/>
    <m/>
    <m/>
    <m/>
    <m/>
    <m/>
    <m/>
    <m/>
    <n v="80000000"/>
    <m/>
    <m/>
    <m/>
    <m/>
    <m/>
    <m/>
    <m/>
    <m/>
    <m/>
    <n v="301"/>
    <m/>
    <m/>
  </r>
  <r>
    <s v="UNIDAD ADMINISTRATIVA ESPECIAL MIGRACIÓN COLOMBIA"/>
    <s v="900477235-6"/>
    <s v="Secop II"/>
    <n v="21"/>
    <x v="0"/>
    <s v="20232241413000002E"/>
    <s v="PCD-037-2023-1J"/>
    <x v="0"/>
    <x v="5"/>
    <s v="Contratación Directa"/>
    <s v="Prestación de Servicios Profesionales "/>
    <x v="11"/>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
    <s v="81101508;80161500;80161504;80121704"/>
    <s v="Ingeniería arquitectónica - Servicios de apoyo gerencial - Servicios de oficina - Servicios legales sobre contratos"/>
    <n v="70400000"/>
    <n v="70400000"/>
    <n v="10323"/>
    <s v="A-02-02-02-008-003"/>
    <s v="Celebrado"/>
    <s v="En ejecución"/>
    <m/>
    <s v="CO-029-2023"/>
    <s v="Enero"/>
    <d v="2023-01-19T00:00:00"/>
    <s v="Prestación de Servicios Profesionales"/>
    <m/>
    <s v="Nivel Central"/>
    <s v="Bogotá D.C."/>
    <s v="ANA CONSTANZA POLANIA"/>
    <n v="52258308"/>
    <s v="-"/>
    <s v="DERECHO"/>
    <s v="NO"/>
    <s v="No es mypime"/>
    <s v="N/A"/>
    <d v="1975-04-21T00:00:00"/>
    <n v="48"/>
    <n v="20423"/>
    <d v="2023-01-19T00:00:00"/>
    <n v="70400000"/>
    <m/>
    <m/>
    <m/>
    <n v="70400000"/>
    <s v="Si "/>
    <d v="2023-01-19T00:00:00"/>
    <s v="2 CUMPLIMIENTO"/>
    <d v="2023-01-23T00:00:00"/>
    <d v="2023-12-22T00:00:00"/>
    <n v="333"/>
    <s v="CARLOS JULIO AVILA CORONEL"/>
    <n v="79279880"/>
    <m/>
    <m/>
    <m/>
    <m/>
    <m/>
    <m/>
    <m/>
    <m/>
    <n v="70400000"/>
    <m/>
    <m/>
    <m/>
    <m/>
    <m/>
    <m/>
    <m/>
    <m/>
    <m/>
    <n v="333"/>
    <m/>
    <m/>
  </r>
  <r>
    <s v="UNIDAD ADMINISTRATIVA ESPECIAL MIGRACIÓN COLOMBIA"/>
    <s v="900477235-6"/>
    <s v="Secop II"/>
    <n v="31"/>
    <x v="0"/>
    <s v="20232401413000005E"/>
    <s v="PCD-038-2023-3COM"/>
    <x v="0"/>
    <x v="5"/>
    <s v="Contratación Directa"/>
    <s v="Prestación de Servicios Profesionales "/>
    <x v="4"/>
    <s v="PARTICIPAR, IMPLEMENTAR Y ACOMPAÑAR LA EJECUCIÓN DE LAS ACCIONES PLANEADAS POR LA OFICINA DE COMUNICACIONES Y SERVICIO  PARA COMUNICACIÓN INTERNA DE MIGRACIÓN COLOMBIA EN DESARROLLO DE SU MISIONALIDAD Y DE ACUERDO CON LAS NECESIDADES DE LA ENTIDAD."/>
    <n v="80161504"/>
    <s v="Servicios de oficina"/>
    <n v="69000000"/>
    <n v="69000000"/>
    <n v="13623"/>
    <s v="A-02-02-02-008-003"/>
    <s v="Celebrado"/>
    <s v="En ejecución"/>
    <m/>
    <s v="CO-028-2023"/>
    <s v="Enero"/>
    <d v="2023-01-19T00:00:00"/>
    <s v="Prestación de Servicios Profesionales"/>
    <m/>
    <s v="Nivel Central"/>
    <s v="Bogotá D.C."/>
    <s v="LUIS ALFONSO VIECCO ROSADO"/>
    <n v="77172059"/>
    <s v="-"/>
    <s v="COMUNICACIÓN SOCIAL"/>
    <s v="NO"/>
    <s v="No es mypime"/>
    <s v="N/A"/>
    <d v="1973-01-30T00:00:00"/>
    <n v="50"/>
    <n v="20123"/>
    <d v="2023-01-19T00:00:00"/>
    <n v="69000000"/>
    <m/>
    <m/>
    <m/>
    <n v="69000000"/>
    <s v="Si "/>
    <d v="2023-01-18T00:00:00"/>
    <s v="2 CUMPLIMIENTO"/>
    <d v="2023-01-19T00:00:00"/>
    <d v="2023-12-31T00:00:00"/>
    <n v="346"/>
    <s v="MARITZA ROCIO SERRANO VILLAMIL"/>
    <n v="39757630"/>
    <m/>
    <m/>
    <m/>
    <m/>
    <m/>
    <m/>
    <m/>
    <m/>
    <n v="69000000"/>
    <m/>
    <m/>
    <m/>
    <m/>
    <m/>
    <m/>
    <m/>
    <m/>
    <m/>
    <n v="346"/>
    <m/>
    <m/>
  </r>
  <r>
    <s v="UNIDAD ADMINISTRATIVA ESPECIAL MIGRACIÓN COLOMBIA"/>
    <s v="900477235-6"/>
    <s v="Secop II"/>
    <n v="227"/>
    <x v="3"/>
    <s v="20233001413000001E"/>
    <s v="PCD-039-2023-4CM"/>
    <x v="0"/>
    <x v="5"/>
    <s v="Contratación Directa"/>
    <s v="Prestación de servicios Profesionales"/>
    <x v="12"/>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oficina"/>
    <n v="51750000"/>
    <n v="51750000"/>
    <n v="14423"/>
    <s v="A-02-02-02-008-003 "/>
    <s v="Celebrado"/>
    <s v="En ejecución"/>
    <m/>
    <s v="CO-030-2023"/>
    <s v="Enero"/>
    <d v="2023-01-20T00:00:00"/>
    <s v="Prestación de Servicios Profesionales"/>
    <m/>
    <s v="Nivel Central "/>
    <s v="Bogotá D.C."/>
    <s v="JOSÉ LEONARDO BECERRA APÍSCOPE"/>
    <n v="1140420436"/>
    <m/>
    <m/>
    <m/>
    <m/>
    <m/>
    <m/>
    <n v="123"/>
    <n v="19823"/>
    <d v="2023-01-19T00:00:00"/>
    <n v="51750000"/>
    <m/>
    <m/>
    <m/>
    <n v="51750000"/>
    <s v="SI"/>
    <d v="2023-01-18T00:00:00"/>
    <s v="2 CUMPLIMIENTO"/>
    <d v="2023-01-20T00:00:00"/>
    <d v="2023-12-31T00:00:00"/>
    <n v="345"/>
    <s v="USECHE OVALLES CARLOS EDUARDO"/>
    <n v="1020712442"/>
    <m/>
    <m/>
    <m/>
    <m/>
    <m/>
    <m/>
    <m/>
    <m/>
    <n v="51750000"/>
    <m/>
    <m/>
    <m/>
    <m/>
    <m/>
    <m/>
    <m/>
    <m/>
    <m/>
    <n v="345"/>
    <m/>
    <m/>
  </r>
  <r>
    <s v="UNIDAD ADMINISTRATIVA ESPECIAL MIGRACIÓN COLOMBIA"/>
    <s v="900477235-6"/>
    <s v="Secop II"/>
    <n v="230"/>
    <x v="1"/>
    <s v="20233001413000002E"/>
    <s v="PCD-008-2023-5CM"/>
    <x v="0"/>
    <x v="6"/>
    <s v="Contratación Directa"/>
    <s v="Prestación de Servicios Profesionales "/>
    <x v="13"/>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gestión, servicios profesionales de empresa y servicios administrativos"/>
    <n v="85500000"/>
    <n v="85500000"/>
    <n v="14323"/>
    <s v="A-02-02-02-008-003"/>
    <s v="Celebrado"/>
    <s v="En ejecución"/>
    <m/>
    <s v="CO-038-2023"/>
    <s v="Enero"/>
    <d v="2023-01-19T00:00:00"/>
    <s v="Prestación de Servicios Profesionales"/>
    <m/>
    <s v="Nivel Central"/>
    <s v="Bogotá D.C."/>
    <s v="MELISSA JOHANNA MONTOYA QUIRAMA"/>
    <n v="42149816"/>
    <m/>
    <m/>
    <m/>
    <m/>
    <m/>
    <m/>
    <n v="123"/>
    <n v="21523"/>
    <d v="2023-01-20T00:00:00"/>
    <n v="85500000"/>
    <m/>
    <m/>
    <m/>
    <n v="85500000"/>
    <s v="Si "/>
    <d v="2023-01-19T00:00:00"/>
    <s v="2 CUMPLIMIENTO"/>
    <d v="2023-01-20T00:00:00"/>
    <d v="2023-10-31T00:00:00"/>
    <n v="284"/>
    <s v="MARTHA HERNANDEZ ARANGO"/>
    <n v="51712658"/>
    <m/>
    <m/>
    <m/>
    <m/>
    <m/>
    <m/>
    <m/>
    <m/>
    <n v="85500000"/>
    <m/>
    <m/>
    <m/>
    <m/>
    <m/>
    <m/>
    <m/>
    <m/>
    <m/>
    <n v="284"/>
    <m/>
    <m/>
  </r>
  <r>
    <s v="UNIDAD ADMINISTRATIVA ESPECIAL MIGRACIÓN COLOMBIA"/>
    <s v="900477235-6"/>
    <s v="Secop II"/>
    <n v="50"/>
    <x v="4"/>
    <s v="20232501413000006E"/>
    <s v="PCD-033-2023-6TEC"/>
    <x v="0"/>
    <x v="6"/>
    <s v="contratacion directa "/>
    <s v="prestacion de servicios profesionales"/>
    <x v="10"/>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2023"/>
    <s v="C-1199-1002-10-0-1199001-02"/>
    <s v="Celebrado"/>
    <s v="En ejecución"/>
    <m/>
    <s v="CO-032-2023"/>
    <s v="Enero"/>
    <d v="2023-01-24T00:00:00"/>
    <s v="Prestación de Servicios Profesionales"/>
    <m/>
    <s v="Nivel Central"/>
    <s v="Bogotá D.C."/>
    <s v="VERONICA BEATRIZ BORGES CELIN"/>
    <n v="1127617145"/>
    <m/>
    <m/>
    <m/>
    <m/>
    <m/>
    <m/>
    <n v="123"/>
    <n v="21823"/>
    <d v="2023-01-20T00:00:00"/>
    <n v="115000000"/>
    <m/>
    <m/>
    <m/>
    <n v="115000000"/>
    <s v="SI"/>
    <d v="2023-01-20T00:00:00"/>
    <s v="2 CUMPLIMIENTO"/>
    <d v="2023-01-24T00:00:00"/>
    <d v="2023-12-31T00:00:00"/>
    <n v="341"/>
    <s v="DIEGO EMILIO OJEDA MONCAYO"/>
    <n v="19498970"/>
    <m/>
    <m/>
    <m/>
    <m/>
    <m/>
    <m/>
    <m/>
    <m/>
    <n v="115000000"/>
    <m/>
    <m/>
    <m/>
    <m/>
    <m/>
    <m/>
    <m/>
    <m/>
    <m/>
    <n v="341"/>
    <m/>
    <m/>
  </r>
  <r>
    <s v="UNIDAD ADMINISTRATIVA ESPECIAL MIGRACIÓN COLOMBIA"/>
    <s v="900477235-6"/>
    <s v="Secop II"/>
    <n v="48"/>
    <x v="4"/>
    <s v="20232501413000004E"/>
    <s v="PCD-034-2023-4TEC"/>
    <x v="0"/>
    <x v="6"/>
    <s v="contratacion directa "/>
    <s v="prestacion de servicios profesionales"/>
    <x v="10"/>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823"/>
    <s v="C-1199-1002-10-0-1199001-02"/>
    <s v="Celebrado"/>
    <s v="En ejecución"/>
    <m/>
    <s v="CO-033-2023"/>
    <s v="Enero"/>
    <d v="2023-01-24T00:00:00"/>
    <s v="Prestación de Servicios Profesionales"/>
    <m/>
    <s v="Nivel Central"/>
    <s v="Bogotá D.C."/>
    <s v="BALDWIN GABRIEL MONTES PEREZ"/>
    <n v="72001417"/>
    <m/>
    <m/>
    <m/>
    <m/>
    <m/>
    <m/>
    <n v="123"/>
    <n v="22323"/>
    <d v="2023-01-23T00:00:00"/>
    <n v="115000000"/>
    <m/>
    <m/>
    <m/>
    <n v="115000000"/>
    <s v="SI"/>
    <d v="2023-01-23T00:00:00"/>
    <s v="2 CUMPLIMIENTO"/>
    <d v="2023-01-24T00:00:00"/>
    <d v="2023-12-31T00:00:00"/>
    <n v="341"/>
    <s v="DIEGO EMILIO OJEDA MONCAYO"/>
    <n v="19498970"/>
    <m/>
    <m/>
    <m/>
    <m/>
    <m/>
    <m/>
    <m/>
    <m/>
    <n v="115000000"/>
    <m/>
    <m/>
    <m/>
    <m/>
    <m/>
    <m/>
    <m/>
    <m/>
    <m/>
    <n v="341"/>
    <m/>
    <m/>
  </r>
  <r>
    <s v="UNIDAD ADMINISTRATIVA ESPECIAL MIGRACIÓN COLOMBIA"/>
    <s v="900477235-6"/>
    <s v="Secop II"/>
    <n v="49"/>
    <x v="4"/>
    <s v="20232501413000005E"/>
    <s v="PCD-035-2023-5TEC"/>
    <x v="0"/>
    <x v="6"/>
    <s v="contratacion directa "/>
    <s v="prestacion de servicios profesionales"/>
    <x v="10"/>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923"/>
    <s v="C-1199-1002-10-0-1199001-02"/>
    <s v="Celebrado"/>
    <s v="En ejecución"/>
    <m/>
    <s v="CO-034-2023"/>
    <s v="Enero"/>
    <d v="2023-01-24T00:00:00"/>
    <s v="Prestación de Servicios Profesionales"/>
    <m/>
    <s v="Nivel Central"/>
    <s v="Bogotá D.C."/>
    <s v="JAIME FERNANDO CANTILLO MONROY"/>
    <n v="1070608285"/>
    <m/>
    <m/>
    <m/>
    <m/>
    <m/>
    <m/>
    <n v="123"/>
    <n v="24323"/>
    <d v="2023-01-24T00:00:00"/>
    <n v="115000000"/>
    <m/>
    <m/>
    <m/>
    <n v="115000000"/>
    <s v="SI"/>
    <d v="2023-01-23T00:00:00"/>
    <s v="2 CUMPLIMIENTO"/>
    <d v="2023-01-24T00:00:00"/>
    <d v="2023-12-31T00:00:00"/>
    <n v="341"/>
    <s v="DIEGO EMILIO OJEDA MONCAYO"/>
    <n v="19498970"/>
    <m/>
    <m/>
    <m/>
    <m/>
    <m/>
    <m/>
    <m/>
    <m/>
    <n v="115000000"/>
    <m/>
    <m/>
    <m/>
    <m/>
    <m/>
    <m/>
    <m/>
    <m/>
    <m/>
    <n v="341"/>
    <m/>
    <m/>
  </r>
  <r>
    <s v="UNIDAD ADMINISTRATIVA ESPECIAL MIGRACIÓN COLOMBIA"/>
    <s v="900477235-6"/>
    <s v="Secop II"/>
    <n v="26"/>
    <x v="4"/>
    <s v="20232261413000001E"/>
    <s v="PCD-007-2023-7J"/>
    <x v="0"/>
    <x v="6"/>
    <s v="contratacion directa "/>
    <s v="prestacion de servicios profesionales"/>
    <x v="9"/>
    <s v="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60000000"/>
    <n v="60000000"/>
    <n v="9923"/>
    <s v="A-02-02-02-008-003"/>
    <s v="Celebrado"/>
    <s v="En ejecución"/>
    <m/>
    <s v="CO-036-2023"/>
    <s v="Enero"/>
    <d v="2023-01-23T00:00:00"/>
    <s v="Prestación de Servicios Profesionales"/>
    <m/>
    <s v="Nivel Central"/>
    <s v="Bogotá D.C."/>
    <s v="RODRIGO ANDRES GARCIA"/>
    <n v="1075243527"/>
    <m/>
    <m/>
    <m/>
    <m/>
    <m/>
    <m/>
    <n v="123"/>
    <n v="21623"/>
    <d v="2023-01-20T00:00:00"/>
    <n v="60000000"/>
    <m/>
    <m/>
    <m/>
    <n v="60000000"/>
    <s v="SI"/>
    <d v="2023-01-19T00:00:00"/>
    <s v="2 CUMPLIMIENTO"/>
    <d v="2023-01-23T00:00:00"/>
    <d v="2023-11-19T00:00:00"/>
    <n v="300"/>
    <s v="CARLOS JULIO AVILA CORONEL"/>
    <n v="79279880"/>
    <m/>
    <m/>
    <m/>
    <m/>
    <m/>
    <m/>
    <m/>
    <m/>
    <n v="60000000"/>
    <m/>
    <m/>
    <m/>
    <m/>
    <m/>
    <m/>
    <m/>
    <m/>
    <m/>
    <n v="300"/>
    <m/>
    <m/>
  </r>
  <r>
    <s v="UNIDAD ADMINISTRATIVA ESPECIAL MIGRACIÓN COLOMBIA"/>
    <s v="900477235-6"/>
    <s v="Secop II"/>
    <n v="52"/>
    <x v="1"/>
    <s v="20232501413000008E"/>
    <s v="PCD-010-2023-8TEC"/>
    <x v="0"/>
    <x v="7"/>
    <s v="Contratación Directa"/>
    <s v="Prestación de Servicios Profesionales "/>
    <x v="2"/>
    <s v="Contratar la prestación de los servicios profesionales para apoyar la gestión de la Oficina de Tecnología de la Información de Migración Colombia, en las actividades propias del desarrollo de aplicaciones en lenguaje .NET"/>
    <n v="81111500"/>
    <s v="Servicios Basados en Ingeniería, Investigación y Tecnología"/>
    <n v="92000000"/>
    <n v="92000000"/>
    <n v="11023"/>
    <s v="C-1199-1002-10-0-1199001-02"/>
    <s v="Celebrado"/>
    <s v="En ejecución"/>
    <m/>
    <s v="CO-041-2023"/>
    <s v="Enero"/>
    <d v="2023-01-20T00:00:00"/>
    <s v="Prestación de Servicios Profesionales"/>
    <m/>
    <s v="Nivel Central"/>
    <s v="Bogotá D.C."/>
    <s v="DANIEL MAURICIO AREVALO RAMIEZ"/>
    <n v="80798819"/>
    <m/>
    <m/>
    <m/>
    <m/>
    <m/>
    <m/>
    <n v="123"/>
    <n v="22023"/>
    <d v="2023-01-23T00:00:00"/>
    <n v="92000000"/>
    <m/>
    <m/>
    <m/>
    <n v="92000000"/>
    <s v="Si "/>
    <d v="2023-01-20T00:00:00"/>
    <s v="2 CUMPLIMIENTO"/>
    <d v="2023-01-23T00:00:00"/>
    <d v="2023-12-31T00:00:00"/>
    <n v="342"/>
    <s v="DIEGO EMILIO OJEDA MONCAYO"/>
    <n v="19498970"/>
    <m/>
    <m/>
    <m/>
    <m/>
    <m/>
    <m/>
    <m/>
    <m/>
    <n v="92000000"/>
    <m/>
    <m/>
    <m/>
    <m/>
    <m/>
    <m/>
    <m/>
    <m/>
    <m/>
    <n v="342"/>
    <m/>
    <m/>
  </r>
  <r>
    <s v="UNIDAD ADMINISTRATIVA ESPECIAL MIGRACIÓN COLOMBIA"/>
    <s v="900477235-6"/>
    <s v="Secop II"/>
    <n v="55"/>
    <x v="1"/>
    <s v="20232501413000010E"/>
    <s v="PCD-026-2023-11TEC"/>
    <x v="0"/>
    <x v="7"/>
    <s v="Contratación Directa"/>
    <s v="Prestación de Servicios Profesionales "/>
    <x v="2"/>
    <s v="Prestar los servicios profesionales para desarrollar actividades relacionadas con planes, programas, documentación y seguimiento a la contratación de la Oficina de Tecnología de la Información de Migración Colombia."/>
    <n v="80101500"/>
    <s v="Servicios de gestión, servicios profesionales de empresa y servicios administrativos"/>
    <n v="121000000"/>
    <n v="121000000"/>
    <n v="13323"/>
    <s v="C-1199-1002-10-0-1199001-02"/>
    <s v="Celebrado"/>
    <s v="En ejecución"/>
    <m/>
    <s v="CO-042-2023"/>
    <s v="Enero"/>
    <d v="2023-01-20T00:00:00"/>
    <s v="Prestación de Servicios Profesionales"/>
    <m/>
    <s v="Nivel Central"/>
    <s v="Bogotá D.C."/>
    <s v="SONIA YANETH AREVALO BONILLA"/>
    <n v="52440980"/>
    <m/>
    <m/>
    <m/>
    <m/>
    <m/>
    <m/>
    <n v="123"/>
    <n v="22123"/>
    <d v="2023-01-23T00:00:00"/>
    <n v="121000000"/>
    <m/>
    <m/>
    <m/>
    <n v="121000000"/>
    <s v="Si "/>
    <d v="2023-01-23T00:00:00"/>
    <s v="2 CUMPLIMIENTO"/>
    <d v="2023-01-23T00:00:00"/>
    <d v="2023-12-31T00:00:00"/>
    <n v="342"/>
    <s v="DIEGO EMILIO OJEDA MONCAYO"/>
    <n v="19498970"/>
    <m/>
    <m/>
    <m/>
    <m/>
    <m/>
    <m/>
    <m/>
    <m/>
    <n v="121000000"/>
    <m/>
    <m/>
    <m/>
    <m/>
    <m/>
    <m/>
    <m/>
    <m/>
    <m/>
    <n v="342"/>
    <m/>
    <m/>
  </r>
  <r>
    <s v="UNIDAD ADMINISTRATIVA ESPECIAL MIGRACIÓN COLOMBIA"/>
    <s v="900477235-6"/>
    <s v="Secop II"/>
    <n v="226"/>
    <x v="3"/>
    <s v="20233001413000003E"/>
    <s v="PCD-040-2023-3CM"/>
    <x v="0"/>
    <x v="7"/>
    <s v="Contratación Directa"/>
    <s v="Prestación de servicios Profesionales"/>
    <x v="12"/>
    <s v="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
    <n v="80161504"/>
    <s v="Servicios de oficina"/>
    <n v="57500000"/>
    <n v="57500000"/>
    <n v="14223"/>
    <s v="A-02-02-02-008-003"/>
    <s v="Celebrado"/>
    <s v="En ejecución"/>
    <m/>
    <s v="CO-037-2023"/>
    <s v="Enero"/>
    <d v="2023-01-23T00:00:00"/>
    <s v="Prestación de Servicios Profesionales"/>
    <m/>
    <s v="Nivel Central "/>
    <s v="Bogotá D.C."/>
    <s v="DANIEL RODRÍGUEZ RAMÍREZ"/>
    <n v="1020743029"/>
    <m/>
    <m/>
    <m/>
    <m/>
    <m/>
    <m/>
    <n v="123"/>
    <n v="21723"/>
    <d v="2023-01-20T00:00:00"/>
    <n v="57500000"/>
    <m/>
    <m/>
    <m/>
    <n v="57500000"/>
    <s v="SI"/>
    <d v="2023-01-23T00:00:00"/>
    <s v="2 CUMPLIMIENTO"/>
    <d v="2023-01-24T00:00:00"/>
    <d v="2023-12-31T00:00:00"/>
    <n v="341"/>
    <s v="HERNANDEZ ARANGO MARTHA"/>
    <n v="51712658"/>
    <m/>
    <m/>
    <m/>
    <m/>
    <m/>
    <m/>
    <m/>
    <m/>
    <n v="57500000"/>
    <m/>
    <m/>
    <m/>
    <m/>
    <m/>
    <m/>
    <m/>
    <m/>
    <m/>
    <n v="341"/>
    <m/>
    <m/>
  </r>
  <r>
    <s v="UNIDAD ADMINISTRATIVA ESPECIAL MIGRACIÓN COLOMBIA"/>
    <s v="900477235-6"/>
    <s v="Secop II"/>
    <n v="29"/>
    <x v="4"/>
    <s v="20232401413000003E"/>
    <s v="PCD-045-2023-1COM"/>
    <x v="0"/>
    <x v="8"/>
    <s v="contratacion directa "/>
    <s v="prestacion de servicios profesionales"/>
    <x v="14"/>
    <s v="Contratar la prestación de los servicios técnicos y administrativos como apoyo a la gestión de la Oficina de Comunicaciones y Servicio al Ciudadano"/>
    <s v="80-16-15-04"/>
    <s v="Servicios de Gestión, Servicios Profesionales de Empresa y Servicios Administrativos- Servicios de Administración de Empresas- Servicios de Apoyo Gerencial- Servicios de oficina"/>
    <n v="47150000"/>
    <n v="47150000"/>
    <n v="13423"/>
    <s v="A-02-02-02-008-003"/>
    <s v="Celebrado"/>
    <s v="En ejecución"/>
    <m/>
    <s v="CO-043-2023"/>
    <s v="Enero"/>
    <d v="2023-01-24T00:00:00"/>
    <s v="Prestación de Servicios Profesionales"/>
    <m/>
    <s v="Nivel Central"/>
    <s v="Bogotá D.C."/>
    <s v="EDGAR AURELIO MATIZ MENJURA"/>
    <n v="79727331"/>
    <m/>
    <m/>
    <m/>
    <m/>
    <m/>
    <m/>
    <n v="123"/>
    <n v="24823"/>
    <d v="2023-01-24T00:00:00"/>
    <n v="47150000"/>
    <m/>
    <m/>
    <m/>
    <n v="47150000"/>
    <s v="SI"/>
    <d v="2023-01-23T00:00:00"/>
    <s v="2 CUMPLIMIENTO"/>
    <d v="2023-01-24T00:00:00"/>
    <d v="2023-12-31T00:00:00"/>
    <n v="341"/>
    <s v="MARITZA ROCÍO SERRANO VILLAMIL"/>
    <n v="393757630"/>
    <m/>
    <m/>
    <m/>
    <m/>
    <m/>
    <m/>
    <m/>
    <m/>
    <n v="47150000"/>
    <m/>
    <m/>
    <m/>
    <m/>
    <m/>
    <m/>
    <m/>
    <m/>
    <m/>
    <n v="341"/>
    <m/>
    <m/>
  </r>
  <r>
    <s v="UNIDAD ADMINISTRATIVA ESPECIAL MIGRACIÓN COLOMBIA"/>
    <s v="900477235-6"/>
    <s v="Secop II"/>
    <n v="33"/>
    <x v="4"/>
    <s v="20232401413000002E"/>
    <s v="PCD-041-2023-5COM"/>
    <x v="0"/>
    <x v="8"/>
    <s v="contratacion directa "/>
    <s v="prestacion de servicios profesionales"/>
    <x v="14"/>
    <s v="Contratar la prestación de los servicios profesionales para la Oficina de Comunicaciones como apoyo a la gestión y producción con los medios masivos de comunicación"/>
    <s v="80-16-15-05"/>
    <s v="Servicios de Gestión, Servicios Profesionales de Empresa y Servicios Administrativos- Servicios de Administración de Empresas- Servicios de Apoyo Gerencial- Servicios de oficina"/>
    <n v="77000000"/>
    <n v="77000000"/>
    <n v="12523"/>
    <s v="A-02-02-02-008-003"/>
    <s v="Celebrado"/>
    <s v="En ejecución"/>
    <m/>
    <s v="CO--045-2023"/>
    <s v="Enero"/>
    <d v="2023-01-26T00:00:00"/>
    <s v="Prestación de Servicios Profesionales"/>
    <m/>
    <s v="Nivel Central"/>
    <s v="Bogotá D.C."/>
    <s v="MÓNICA VICTORIA MANCERA CARRERO"/>
    <n v="52515581"/>
    <m/>
    <m/>
    <m/>
    <m/>
    <m/>
    <m/>
    <n v="123"/>
    <n v="24723"/>
    <d v="2023-01-24T00:00:00"/>
    <n v="77000000"/>
    <m/>
    <m/>
    <m/>
    <n v="77000000"/>
    <s v="SI"/>
    <d v="2023-01-24T00:00:00"/>
    <s v="2 CUMPLIMIENTO"/>
    <d v="2023-01-26T00:00:00"/>
    <d v="2023-12-23T00:00:00"/>
    <n v="331"/>
    <s v="MARITZA ROCÍO SERRANO VILLAMIL"/>
    <n v="393757630"/>
    <m/>
    <m/>
    <m/>
    <m/>
    <m/>
    <m/>
    <m/>
    <m/>
    <n v="77000000"/>
    <m/>
    <m/>
    <m/>
    <m/>
    <m/>
    <m/>
    <m/>
    <m/>
    <m/>
    <n v="331"/>
    <m/>
    <m/>
  </r>
  <r>
    <s v="UNIDAD ADMINISTRATIVA ESPECIAL MIGRACIÓN COLOMBIA"/>
    <s v="900477235-6"/>
    <s v="Secop II"/>
    <n v="51"/>
    <x v="4"/>
    <s v="20232501413000007E"/>
    <s v="PCD-036-2023-7TEC"/>
    <x v="0"/>
    <x v="9"/>
    <s v="contratacion directa "/>
    <s v="prestacion de servicios profesionales"/>
    <x v="10"/>
    <s v="Contratar la prestación de servicios profesionales para la configuración de ambientes, aplicaciones y versionamiento de código fuente de los sistemas de información de Migración Colombia"/>
    <s v="81-11-15"/>
    <s v="Servicios Basados en Ingeniería, Investigación y Tecnología -Servicios informáticos-Ingeniería de software o hardware"/>
    <n v="80500000"/>
    <n v="80500000"/>
    <n v="12123"/>
    <s v="C-1199-1002-10-0-1199001-02"/>
    <s v="Celebrado"/>
    <s v="En ejecución"/>
    <m/>
    <s v="CO-035-2023"/>
    <s v="Enero"/>
    <d v="2023-01-25T00:00:00"/>
    <s v="Prestación de Servicios Profesionales"/>
    <m/>
    <s v="Nivel Central"/>
    <s v="Bogotá D.C."/>
    <s v="ADRIAN AUGUSTO FERNANDEZ ANZOLA"/>
    <n v="72192898"/>
    <m/>
    <m/>
    <m/>
    <m/>
    <m/>
    <m/>
    <n v="123"/>
    <n v="24623"/>
    <d v="2023-01-24T00:00:00"/>
    <n v="80500000"/>
    <m/>
    <m/>
    <m/>
    <n v="80500000"/>
    <s v="SI"/>
    <d v="2023-01-24T00:00:00"/>
    <s v="2 CUMPLIMIENTO"/>
    <d v="2023-01-25T00:00:00"/>
    <d v="2023-12-31T00:00:00"/>
    <n v="340"/>
    <s v="DIEGO EMILIO OJEDA MONCAYO"/>
    <n v="19498970"/>
    <m/>
    <m/>
    <m/>
    <m/>
    <m/>
    <m/>
    <m/>
    <m/>
    <n v="80500000"/>
    <m/>
    <m/>
    <m/>
    <m/>
    <m/>
    <m/>
    <m/>
    <m/>
    <m/>
    <n v="340"/>
    <m/>
    <m/>
  </r>
  <r>
    <s v="UNIDAD ADMINISTRATIVA ESPECIAL MIGRACIÓN COLOMBIA"/>
    <s v="900477235-6"/>
    <s v="Secop II"/>
    <n v="251"/>
    <x v="4"/>
    <s v="20236111413000001E"/>
    <s v="PCD-043-2023-12TH"/>
    <x v="0"/>
    <x v="9"/>
    <s v="contratacion directa "/>
    <s v="prestacion de servicios profesionales"/>
    <x v="15"/>
    <s v="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
    <s v="80-16-15"/>
    <s v="Servicios de gestión, servicios profesionales de empresa y servicios administrativos-  Servicios de Administración de empresas- Servicios de Apoyo Gerencial"/>
    <n v="52500000"/>
    <n v="52500000"/>
    <n v="14123"/>
    <s v="A-02-02-02-008-003"/>
    <s v="Celebrado"/>
    <s v="En ejecución"/>
    <m/>
    <s v="CO-046-2023"/>
    <s v="Enero"/>
    <d v="2023-01-26T00:00:00"/>
    <s v="Prestación de Servicios Profesionales"/>
    <m/>
    <s v="Nivel Central"/>
    <s v="Bogotá D.C."/>
    <s v="JUAN CARLOS LOPEZ RICO"/>
    <n v="1014207920"/>
    <m/>
    <m/>
    <m/>
    <m/>
    <m/>
    <m/>
    <n v="123"/>
    <n v="27623"/>
    <d v="2023-01-26T00:00:00"/>
    <n v="52500000"/>
    <m/>
    <m/>
    <m/>
    <n v="52500000"/>
    <s v="SI"/>
    <d v="2023-01-25T00:00:00"/>
    <s v="2 CUMPLIMIENTO"/>
    <d v="2023-01-26T00:00:00"/>
    <d v="2023-08-26T00:00:00"/>
    <n v="212"/>
    <s v="ROSA MARÍA MARTÍNEZ GONZÁLEZ"/>
    <n v="51832657"/>
    <m/>
    <m/>
    <m/>
    <m/>
    <m/>
    <m/>
    <m/>
    <m/>
    <n v="52500000"/>
    <m/>
    <m/>
    <m/>
    <m/>
    <m/>
    <m/>
    <m/>
    <m/>
    <m/>
    <n v="212"/>
    <m/>
    <m/>
  </r>
  <r>
    <s v="UNIDAD ADMINISTRATIVA ESPECIAL MIGRACIÓN COLOMBIA"/>
    <s v="900477235-6"/>
    <s v="Secop II"/>
    <n v="200"/>
    <x v="3"/>
    <s v="20236221413000003E"/>
    <s v="PCD-044-2023-82SYF"/>
    <x v="0"/>
    <x v="9"/>
    <s v="Contratación Directa"/>
    <s v="Prestación de servicios Profesionales"/>
    <x v="16"/>
    <s v="Apoy ar a Migración Colombia en el desarrollo de nuevas funcionalidades y el mantenimiento, optimización e integración del sistema de gestión documental Orfeo."/>
    <n v="81111504"/>
    <s v="Serv icios de program ación de aplicacio nes"/>
    <n v="86250000"/>
    <n v="86250000"/>
    <n v="12623"/>
    <s v="C-1199-1002-8-0-1199018-02"/>
    <s v="Celebrado"/>
    <s v="En ejecución"/>
    <m/>
    <s v="CO-047-2023"/>
    <s v="Enero"/>
    <d v="2023-01-26T00:00:00"/>
    <s v="Prestación de Servicios Profesionales"/>
    <m/>
    <s v="Nivel Central "/>
    <s v="Bogotá D.C."/>
    <s v="FABIAN MAURICIO LOSADA FLÓREZ"/>
    <n v="80151371"/>
    <m/>
    <m/>
    <m/>
    <m/>
    <m/>
    <m/>
    <n v="123"/>
    <n v="27323"/>
    <d v="2023-01-26T00:00:00"/>
    <n v="86250000"/>
    <m/>
    <m/>
    <m/>
    <n v="86250000"/>
    <s v="SI"/>
    <d v="2023-01-26T00:00:00"/>
    <s v="2 CUMPLIMIENTO"/>
    <d v="2023-01-26T00:00:00"/>
    <d v="2023-12-31T00:00:00"/>
    <n v="339"/>
    <s v=" OJEDA MONCAYO DIEGO EMILIO"/>
    <n v="19498970"/>
    <m/>
    <m/>
    <m/>
    <m/>
    <m/>
    <m/>
    <m/>
    <m/>
    <n v="86250000"/>
    <m/>
    <m/>
    <m/>
    <m/>
    <m/>
    <m/>
    <m/>
    <m/>
    <m/>
    <n v="339"/>
    <m/>
    <m/>
  </r>
  <r>
    <s v="UNIDAD ADMINISTRATIVA ESPECIAL MIGRACIÓN COLOMBIA"/>
    <s v="900477235-6"/>
    <s v="Secop II"/>
    <n v="4"/>
    <x v="0"/>
    <s v="20236011413000002E"/>
    <s v="PCD-042-2023-4D"/>
    <x v="0"/>
    <x v="10"/>
    <s v="Contratación Directa"/>
    <s v="Prestación de Servicios Profesionales "/>
    <x v="0"/>
    <s v="PRESTAR LOS SERVICIOS PROFESIONALES ESPECIALIZADO CON AUTONOMÍA TÉCNICA Y ADMINISTRATIVA PARA APOYAR LA GESTIÓN DE LA DIRECCIÓN GENERAL DE MIGRACIÓN COLOMBIA, DE ACUERDO CON LAS CONDICIONES SEÑALADAS Y ESPECIFICACIONES TÉCNICAS DESCRITAS EN LOS ESTUDIOS PREVIOS."/>
    <n v="80161504"/>
    <s v="Servicios de oficina"/>
    <n v="80000000"/>
    <n v="80000000"/>
    <n v="14023"/>
    <s v="A-02-02-02-008-003"/>
    <s v="Celebrado"/>
    <s v="En ejecución"/>
    <m/>
    <s v="CO-050-2023"/>
    <s v="Enero"/>
    <d v="2023-01-26T00:00:00"/>
    <s v="Prestación de Servicios Profesionales"/>
    <m/>
    <s v="Nivel Central"/>
    <s v="Bogotá D.C."/>
    <s v="LUIS FERNANDO MARTÍNEZ VARGAS"/>
    <n v="79951390"/>
    <s v="-"/>
    <s v="ECONOMIA"/>
    <s v="NO"/>
    <s v="No es mypime"/>
    <s v="N/A"/>
    <d v="1979-06-08T00:00:00"/>
    <n v="44"/>
    <n v="27723"/>
    <d v="2023-01-26T00:00:00"/>
    <n v="80000000"/>
    <m/>
    <m/>
    <m/>
    <n v="80000000"/>
    <s v="Si "/>
    <d v="2023-01-27T00:00:00"/>
    <s v="2 CUMPLIMIENTO"/>
    <d v="2023-02-01T00:00:00"/>
    <d v="2023-10-01T00:00:00"/>
    <n v="242"/>
    <s v="MARIA PAULA AVILA GONZALEZ"/>
    <n v="52619262"/>
    <m/>
    <m/>
    <m/>
    <m/>
    <m/>
    <m/>
    <m/>
    <m/>
    <n v="80000000"/>
    <m/>
    <m/>
    <m/>
    <m/>
    <m/>
    <m/>
    <m/>
    <m/>
    <m/>
    <n v="242"/>
    <m/>
    <m/>
  </r>
  <r>
    <s v="UNIDAD ADMINISTRATIVA ESPECIAL MIGRACIÓN COLOMBIA"/>
    <s v="900477235-6"/>
    <s v="Secop II"/>
    <n v="8"/>
    <x v="0"/>
    <s v="20232121413000006E"/>
    <s v="PCD-054-2023-2P"/>
    <x v="0"/>
    <x v="10"/>
    <s v="Contratación Directa"/>
    <s v="Prestación de Servicios Profesionales "/>
    <x v="1"/>
    <s v="PRESTACIÓN DE SERVICIOS PROFESIONALES CON AUTONOMÍA TÉCNICA Y ADMINISTRATIVA PARA LA OFICINA ASESORA DE PLANEACIÓN EN TEMAS DE MEJORA CONTINUA Y SISTEMA INTEGRADO DE GESTIÓN."/>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m/>
    <s v="CO-051-2023"/>
    <s v="Enero"/>
    <d v="2023-01-30T00:00:00"/>
    <s v="Prestación de Servicios Profesionales"/>
    <m/>
    <s v="Nivel Central"/>
    <s v="Bogotá D.C."/>
    <s v="HENRY SANTIAGO GUILLEN CABRERA"/>
    <n v="1016072632"/>
    <s v="-"/>
    <s v="INGENIERIA INDUSTRIAL"/>
    <s v="NO"/>
    <s v="No es mypime"/>
    <s v="N/A"/>
    <d v="1994-12-25T00:00:00"/>
    <n v="29"/>
    <n v="31123"/>
    <d v="2023-01-31T00:00:00"/>
    <n v="55000000"/>
    <m/>
    <m/>
    <m/>
    <n v="55000000"/>
    <s v="Si "/>
    <d v="2023-01-30T00:00:00"/>
    <s v="2 CUMPLIMIENTO"/>
    <d v="2023-02-01T00:00:00"/>
    <d v="2023-12-31T00:00:00"/>
    <n v="333"/>
    <s v="JORGE ENRIQUE GARCIA LONDOÑO"/>
    <n v="79276876"/>
    <m/>
    <m/>
    <m/>
    <m/>
    <m/>
    <m/>
    <m/>
    <m/>
    <n v="55000000"/>
    <m/>
    <m/>
    <m/>
    <m/>
    <m/>
    <m/>
    <m/>
    <m/>
    <m/>
    <n v="333"/>
    <m/>
    <m/>
  </r>
  <r>
    <s v="UNIDAD ADMINISTRATIVA ESPECIAL MIGRACIÓN COLOMBIA"/>
    <s v="900477235-6"/>
    <s v="Secop II"/>
    <n v="232"/>
    <x v="3"/>
    <s v="20236231415000001E"/>
    <s v="PCD-047-2023-7CM"/>
    <x v="0"/>
    <x v="11"/>
    <s v="Contratación Directa"/>
    <s v="Exclusividad"/>
    <x v="12"/>
    <s v="CONTRATAR EL SERVICIO DE MANTENIMIENTO PREVENTIVO DE LA MÁQUINA LÁSER TROTEC SP100R C30 Y DEL SUMINISTRO DEL SISTEMA DE EXTRACCIÓN 8260 ATMOS MONO Y SU RESPECTIVA BOLSA DE REPUESTOS."/>
    <n v="73152100"/>
    <s v="Servicios de mantenimien to y reparación de equipo de manufactura"/>
    <n v="16275000"/>
    <n v="16275000"/>
    <n v="13023"/>
    <s v="C-1199-1002-10-0-1199001-02"/>
    <s v="Cancelado"/>
    <s v="Desierto"/>
    <n v="342"/>
    <m/>
    <m/>
    <m/>
    <m/>
    <m/>
    <m/>
    <m/>
    <m/>
    <m/>
    <m/>
    <m/>
    <m/>
    <m/>
    <m/>
    <m/>
    <n v="123"/>
    <m/>
    <m/>
    <m/>
    <m/>
    <m/>
    <m/>
    <m/>
    <m/>
    <m/>
    <m/>
    <m/>
    <m/>
    <n v="0"/>
    <m/>
    <m/>
    <m/>
    <m/>
    <m/>
    <m/>
    <m/>
    <m/>
    <m/>
    <m/>
    <n v="0"/>
    <m/>
    <m/>
    <m/>
    <m/>
    <m/>
    <m/>
    <m/>
    <m/>
    <m/>
    <m/>
    <m/>
    <m/>
  </r>
  <r>
    <s v="UNIDAD ADMINISTRATIVA ESPECIAL MIGRACIÓN COLOMBIA"/>
    <s v="900477235-6"/>
    <s v="Secop II"/>
    <n v="11"/>
    <x v="2"/>
    <s v="20232121413000008E"/>
    <s v="PCD-046-2023-5P"/>
    <x v="0"/>
    <x v="12"/>
    <s v="Contratación Directa"/>
    <s v="Prestación de Servicios Profesionales "/>
    <x v="1"/>
    <s v="PRESTACIÓN DE SERVICIOS PROFESIONALES CON AUTONOMÍA TÉCNICA Y ADMINISTRATIVA EN LA OFICINA ASESORA DE PLANEACIÓN PARA LA ELABORACIÓN DE ANÁLISIS, INFORMES Y REPORTES DE REGISTROS ADMINISTRATIVOS."/>
    <s v="801615;80121704;80101605;81112006;81112007;811315;93121600"/>
    <s v="Servicios de apoyo gerencial"/>
    <n v="55000000"/>
    <n v="55000000"/>
    <n v="15723"/>
    <s v="C-1199-1002-11-0-1199054-02"/>
    <s v="Celebrado"/>
    <s v="En ejecución"/>
    <m/>
    <s v="CO-044-2023"/>
    <s v="Enero"/>
    <d v="2023-01-31T00:00:00"/>
    <s v="Prestación de Servicios Profesionales"/>
    <m/>
    <s v="Nivel Central"/>
    <s v="Bogotá D.C."/>
    <s v="CESAR EMILIO TORRES REYES"/>
    <n v="1082992710"/>
    <m/>
    <s v="DERECHO"/>
    <s v="NO"/>
    <m/>
    <m/>
    <n v="34658"/>
    <e v="#REF!"/>
    <n v="30923"/>
    <d v="2023-01-31T00:00:00"/>
    <n v="55000000"/>
    <m/>
    <m/>
    <m/>
    <n v="55000000"/>
    <s v="Si "/>
    <d v="2023-01-19T00:00:00"/>
    <s v="2 CUMPLIMIENTO"/>
    <d v="2023-01-30T00:00:00"/>
    <d v="2023-12-31T00:00:00"/>
    <n v="335"/>
    <s v="OSCAR ANDRES VALDERRAMA CANO"/>
    <n v="80791769"/>
    <m/>
    <m/>
    <m/>
    <m/>
    <m/>
    <m/>
    <m/>
    <m/>
    <e v="#REF!"/>
    <m/>
    <m/>
    <m/>
    <m/>
    <m/>
    <m/>
    <m/>
    <m/>
    <m/>
    <n v="335"/>
    <m/>
    <m/>
  </r>
  <r>
    <s v="UNIDAD ADMINISTRATIVA ESPECIAL MIGRACIÓN COLOMBIA"/>
    <s v="900477235-6"/>
    <s v="Secop II"/>
    <n v="3"/>
    <x v="2"/>
    <s v="20232111413000001E"/>
    <s v="PCD-050-2023-3D"/>
    <x v="0"/>
    <x v="12"/>
    <s v="Contratación Directa"/>
    <s v="Prestación de Servicios Profesionales "/>
    <x v="0"/>
    <s v="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
    <n v="80111600"/>
    <s v="Servicios de oficina"/>
    <n v="46000000"/>
    <n v="44000000"/>
    <n v="18823"/>
    <s v="A-02-02-02-008-003"/>
    <s v="Celebrado"/>
    <s v="En ejecución"/>
    <m/>
    <s v="CO-053-2023"/>
    <s v="Enero"/>
    <d v="2023-01-31T00:00:00"/>
    <s v="Prestación de Servicios Profesionales"/>
    <m/>
    <s v="Nivel Central"/>
    <s v="Bogotá D.C."/>
    <s v="MARÍA FERNANDA OSPINA CARO"/>
    <n v="1026593280"/>
    <m/>
    <s v="PROFESIONAL EN RELACIONES INTERNACIONALES "/>
    <s v="NO"/>
    <m/>
    <m/>
    <n v="35801"/>
    <e v="#REF!"/>
    <n v="30823"/>
    <d v="2023-01-31T00:00:00"/>
    <n v="44000000"/>
    <m/>
    <m/>
    <m/>
    <n v="44000000"/>
    <s v="Si "/>
    <d v="2023-01-30T00:00:00"/>
    <s v="2 CUMPLIMIENTO"/>
    <d v="2023-02-01T00:00:00"/>
    <d v="2023-12-31T00:00:00"/>
    <n v="333"/>
    <s v="Vanessa Ortiz López"/>
    <n v="1144031972"/>
    <m/>
    <m/>
    <m/>
    <m/>
    <m/>
    <m/>
    <m/>
    <m/>
    <e v="#REF!"/>
    <m/>
    <m/>
    <m/>
    <m/>
    <m/>
    <m/>
    <m/>
    <m/>
    <m/>
    <n v="333"/>
    <m/>
    <m/>
  </r>
  <r>
    <s v="UNIDAD ADMINISTRATIVA ESPECIAL MIGRACIÓN COLOMBIA"/>
    <s v="900477235-6"/>
    <s v="Secop II"/>
    <n v="24"/>
    <x v="4"/>
    <s v="20232241413000004E"/>
    <s v="PCD-055-2023-4J"/>
    <x v="0"/>
    <x v="12"/>
    <s v="contratacion directa "/>
    <s v="Prestacion de servicios apoyo a la gestion"/>
    <x v="9"/>
    <s v="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30800000"/>
    <n v="30800000"/>
    <n v="15523"/>
    <s v="A-02-02-02-008-003"/>
    <s v="Celebrado"/>
    <s v="En ejecución"/>
    <m/>
    <s v="CO-048-2023"/>
    <s v="Enero"/>
    <d v="2023-01-31T00:00:00"/>
    <s v="Prestacion de Servicios de Apoyo a la Gestion"/>
    <m/>
    <s v="Nivel Central"/>
    <s v="Bogotá D.C."/>
    <s v="NUBIA AMPARO RODRIGUEZ MORENO"/>
    <n v="51977370"/>
    <m/>
    <m/>
    <m/>
    <m/>
    <m/>
    <m/>
    <n v="123"/>
    <n v="30523"/>
    <d v="2023-01-30T00:00:00"/>
    <n v="30800000"/>
    <m/>
    <m/>
    <m/>
    <n v="30800000"/>
    <s v="SI"/>
    <d v="2023-01-30T00:00:00"/>
    <s v="2 CUMPLIMIENTO"/>
    <d v="2023-01-31T00:00:00"/>
    <d v="2023-12-31T00:00:00"/>
    <n v="334"/>
    <s v="CARLOS JULIO AVILA CORONEL"/>
    <n v="79279880"/>
    <m/>
    <m/>
    <m/>
    <m/>
    <m/>
    <m/>
    <m/>
    <m/>
    <n v="30800000"/>
    <m/>
    <m/>
    <m/>
    <m/>
    <m/>
    <m/>
    <m/>
    <m/>
    <m/>
    <n v="334"/>
    <m/>
    <m/>
  </r>
  <r>
    <s v="UNIDAD ADMINISTRATIVA ESPECIAL MIGRACIÓN COLOMBIA"/>
    <s v="900477235-6"/>
    <s v="Secop II"/>
    <n v="237"/>
    <x v="3"/>
    <s v="20234021413000001E"/>
    <s v="PCD-059-2023-4E"/>
    <x v="0"/>
    <x v="12"/>
    <s v="Contratación Directa"/>
    <s v="Prestación de servicios Profesionales"/>
    <x v="17"/>
    <s v="PRESTAR LOS SERVICIOS PROFESIONALES EN LA SUBDIRECCIÓN DE EXTRANJERÍA CON AUTONOMÍA TÉCNICA Y ADMINISTRATIVA, DE ACUERDO CON LAS CONDICIONES SEÑALADAS Y ESPECIFICACIONES TÉCNICAS DESCRITAS EN LOS ESTUDIOS PREVIOS"/>
    <n v="80111600"/>
    <s v="Serv icios de Personal temporal"/>
    <n v="77000000"/>
    <n v="77000000"/>
    <n v="18923"/>
    <s v="A-02-02-02-008-003"/>
    <s v="Celebrado"/>
    <s v="En ejecución"/>
    <m/>
    <s v="CO-054-2023"/>
    <s v="Enero"/>
    <d v="2023-01-30T00:00:00"/>
    <s v="Prestación de Servicios Profesionales"/>
    <m/>
    <s v="Nivel Central "/>
    <s v="Bogotá D.C."/>
    <s v="OSCAR FERNANDO FAJARDO"/>
    <n v="1121918009"/>
    <m/>
    <m/>
    <m/>
    <m/>
    <m/>
    <m/>
    <n v="123"/>
    <n v="30023"/>
    <d v="2023-01-30T00:00:00"/>
    <n v="77000000"/>
    <m/>
    <m/>
    <m/>
    <n v="77000000"/>
    <s v="SI"/>
    <d v="2023-01-30T00:00:00"/>
    <s v="2 CUMPLIMIENTO"/>
    <d v="2023-02-01T00:00:00"/>
    <d v="2023-12-31T00:00:00"/>
    <n v="333"/>
    <s v="BAUTISTA MARTINEZ MARGARITA MARIA"/>
    <n v="1010181437"/>
    <m/>
    <m/>
    <m/>
    <m/>
    <m/>
    <m/>
    <m/>
    <m/>
    <n v="77000000"/>
    <m/>
    <m/>
    <m/>
    <m/>
    <m/>
    <m/>
    <m/>
    <m/>
    <m/>
    <n v="333"/>
    <m/>
    <m/>
  </r>
  <r>
    <s v="UNIDAD ADMINISTRATIVA ESPECIAL MIGRACIÓN COLOMBIA"/>
    <s v="900477235-6"/>
    <s v="Secop II"/>
    <n v="25"/>
    <x v="2"/>
    <s v="20236231416000001E"/>
    <s v="PCD-057-2023-6J"/>
    <x v="0"/>
    <x v="13"/>
    <s v="Contratación Directa"/>
    <s v="Prestación de Servicios Profesionales "/>
    <x v="9"/>
    <s v="CONTRATAR LA PUBLICACIÓN EN EL DIARIO OFICIAL DE LOS ACTOS ADMINISTRATIVOS QUE DEMANDE LA UAEMC"/>
    <s v="82121506"/>
    <s v=" Impresión de publicaciones"/>
    <n v="6000000"/>
    <n v="6000000"/>
    <n v="15623"/>
    <s v="A-02-02-02-008-003"/>
    <s v="Celebrado"/>
    <s v="En ejecución"/>
    <m/>
    <s v="CO-070-2023"/>
    <s v="FEBRERO"/>
    <d v="2023-02-24T00:00:00"/>
    <s v="INTERADMINISTRATIVO"/>
    <m/>
    <s v="Nivel Central"/>
    <s v="Bogotá D.C."/>
    <s v="IMPRENTA NACIONAL DE COLOMBIA"/>
    <s v="830.001.113"/>
    <n v="1"/>
    <s v="N/A"/>
    <s v="NO"/>
    <m/>
    <m/>
    <m/>
    <e v="#REF!"/>
    <n v="42623"/>
    <d v="2023-02-24T00:00:00"/>
    <n v="6000000"/>
    <m/>
    <m/>
    <m/>
    <n v="6000000"/>
    <s v="NO"/>
    <s v="N/A"/>
    <s v="N/A"/>
    <d v="2023-02-24T00:00:00"/>
    <d v="2023-12-31T00:00:00"/>
    <n v="310"/>
    <s v="CARLOS JULIO AVILA CORONEL"/>
    <n v="79279880"/>
    <m/>
    <m/>
    <m/>
    <m/>
    <m/>
    <m/>
    <m/>
    <m/>
    <e v="#REF!"/>
    <m/>
    <m/>
    <m/>
    <m/>
    <m/>
    <m/>
    <m/>
    <m/>
    <m/>
    <n v="310"/>
    <m/>
    <m/>
  </r>
  <r>
    <s v="UNIDAD ADMINISTRATIVA ESPECIAL MIGRACIÓN COLOMBIA"/>
    <s v="900477235-6"/>
    <s v="Secop II"/>
    <n v="155"/>
    <x v="3"/>
    <s v="20236231414000001E"/>
    <s v="PCD-060-2023-37SYF"/>
    <x v="0"/>
    <x v="13"/>
    <s v="Contratación Directa"/>
    <s v="Arrendamiento"/>
    <x v="18"/>
    <s v="Contratar el arrendamiento de cupos de parqueadero para el parque automotor del Centro Facilitador de Serv icios Migratorios en la Ciudad de Riohacha"/>
    <n v="80131502"/>
    <s v="Arrendamien to de Instalaciones comerciales o Industriales"/>
    <n v="16400000"/>
    <n v="16170000"/>
    <n v="19323"/>
    <s v=" A-02-02-02-007-002"/>
    <s v="Cancelado"/>
    <s v="Desierto"/>
    <n v="226"/>
    <m/>
    <m/>
    <m/>
    <m/>
    <m/>
    <m/>
    <m/>
    <m/>
    <m/>
    <m/>
    <m/>
    <m/>
    <m/>
    <m/>
    <m/>
    <n v="123"/>
    <m/>
    <m/>
    <m/>
    <m/>
    <m/>
    <m/>
    <m/>
    <m/>
    <m/>
    <m/>
    <m/>
    <m/>
    <n v="0"/>
    <m/>
    <m/>
    <m/>
    <m/>
    <m/>
    <m/>
    <m/>
    <m/>
    <m/>
    <m/>
    <n v="0"/>
    <m/>
    <m/>
    <m/>
    <m/>
    <m/>
    <m/>
    <m/>
    <m/>
    <m/>
    <m/>
    <m/>
    <m/>
  </r>
  <r>
    <s v="UNIDAD ADMINISTRATIVA ESPECIAL MIGRACIÓN COLOMBIA"/>
    <s v="900477235-6"/>
    <s v="Secop II"/>
    <n v="239"/>
    <x v="1"/>
    <s v="20234021413000002E"/>
    <s v="PCD-056-2023-6E"/>
    <x v="0"/>
    <x v="14"/>
    <s v="Contratación Directa"/>
    <s v="Prestación de Servicios Profesionales "/>
    <x v="4"/>
    <s v="PRESTAR LOS SERVICIOS PROFESIONALES ESPECIALIZADOS EN LA SUBDIRECCIÓN DE EXTRANJERÍA CON AUTONOMÍA TÉCNICA Y ADMINISTRATIVA, DE ACUERDO CON LAS CONDICIONES SEÑALADAS Y ESPECIFICACIONES TÉCNICAS DESCRITAS EN LOS ESTUDIOS PREVIOS"/>
    <n v="80111600"/>
    <s v="Servicios de gestión, servicios profesionales de empresa y servicios administrativos"/>
    <n v="90000000"/>
    <n v="90000000"/>
    <n v="15223"/>
    <s v="A-02-02-02-008-003"/>
    <s v="Celebrado"/>
    <s v="En ejecución"/>
    <m/>
    <s v="CO-055-2023"/>
    <s v="FEBRERO"/>
    <d v="2023-02-01T00:00:00"/>
    <s v="Prestación de Servicios Profesionales"/>
    <m/>
    <s v="Nivel Central"/>
    <s v="Bogotá D.C."/>
    <s v="NESTOR DAVID MEDINA HERRERA"/>
    <n v="91534928"/>
    <m/>
    <m/>
    <m/>
    <m/>
    <m/>
    <m/>
    <n v="123"/>
    <n v="31623"/>
    <d v="2023-02-01T00:00:00"/>
    <n v="90000000"/>
    <m/>
    <m/>
    <m/>
    <n v="90000000"/>
    <s v="Si "/>
    <d v="2023-02-01T00:00:00"/>
    <s v="2 CUMPLIMIENTO"/>
    <d v="2023-02-01T00:00:00"/>
    <d v="2023-11-30T00:00:00"/>
    <n v="302"/>
    <s v="MARGARITA MARIA BAUTISTA MARTINEZ"/>
    <n v="1010181437"/>
    <m/>
    <m/>
    <m/>
    <m/>
    <m/>
    <m/>
    <m/>
    <m/>
    <n v="90000000"/>
    <m/>
    <m/>
    <m/>
    <m/>
    <m/>
    <m/>
    <m/>
    <m/>
    <m/>
    <n v="302"/>
    <m/>
    <m/>
  </r>
  <r>
    <s v="UNIDAD ADMINISTRATIVA ESPECIAL MIGRACIÓN COLOMBIA"/>
    <s v="900477235-6"/>
    <s v="Secop II"/>
    <n v="151"/>
    <x v="1"/>
    <s v="20236231414000002E"/>
    <s v="PCD-061-2023-33SYF"/>
    <x v="0"/>
    <x v="14"/>
    <s v="Contratación Directa"/>
    <s v="Arrendamiento"/>
    <x v="3"/>
    <s v="Contratar el arriendo del parqueadero para el CFSM en la ciudad de Valledupar"/>
    <n v="80131502"/>
    <s v="Alquiler y arrendamiento de propiedades o edificaciones."/>
    <n v="4950000"/>
    <n v="4800000"/>
    <n v="19423"/>
    <s v="A-02-02-02-007-002"/>
    <s v="Cancelado"/>
    <s v="Desierto"/>
    <s v="O341"/>
    <m/>
    <m/>
    <m/>
    <m/>
    <m/>
    <m/>
    <m/>
    <m/>
    <m/>
    <m/>
    <m/>
    <m/>
    <m/>
    <m/>
    <m/>
    <n v="123"/>
    <m/>
    <m/>
    <m/>
    <m/>
    <m/>
    <m/>
    <m/>
    <m/>
    <m/>
    <m/>
    <m/>
    <m/>
    <n v="0"/>
    <m/>
    <m/>
    <m/>
    <m/>
    <m/>
    <m/>
    <m/>
    <m/>
    <m/>
    <m/>
    <n v="0"/>
    <m/>
    <m/>
    <m/>
    <m/>
    <m/>
    <m/>
    <m/>
    <m/>
    <m/>
    <n v="0"/>
    <m/>
    <m/>
  </r>
  <r>
    <s v="UNIDAD ADMINISTRATIVA ESPECIAL MIGRACIÓN COLOMBIA"/>
    <s v="900477235-6"/>
    <s v="Secop II"/>
    <n v="13"/>
    <x v="2"/>
    <s v="20232121413000007E"/>
    <s v="PCD-048-2023-7P"/>
    <x v="0"/>
    <x v="14"/>
    <s v="Contratación Directa"/>
    <s v="Prestación de Servicios Profesionales "/>
    <x v="1"/>
    <s v="PRESTACIÓN DE SERVICIOS PROFESIONALES CON AUTONOMÍA TÉCNICA Y ADMINISTRATIVA EN LA OFICINA ASESORA DE PLANEACIÓN, EN ASUNTOS JURÍDICOS PARA LA ESTRUCTURACIÓN DE ESTUDIOS EN PRO DEL MEJORAMIENTO EN LA OPERATIVIDAD MISIONAL Y ADMINISTRATIVA DE LA ENTIDAD."/>
    <s v="801615;801015;80121704;80101605;80121803"/>
    <s v="Servicios de apoyo gerencial"/>
    <n v="66000000"/>
    <n v="66000000"/>
    <n v="15423"/>
    <s v="C-1199-1002-11-0-1199060-02"/>
    <s v="Celebrado"/>
    <s v="En ejecución"/>
    <m/>
    <s v="CO-049-2023"/>
    <s v="FEBRERO"/>
    <d v="2023-02-01T00:00:00"/>
    <s v="Prestación de Servicios Profesionales"/>
    <m/>
    <s v="Nivel Central"/>
    <s v="Bogotá D.C."/>
    <s v="GLADYS GUTIERREZ UPEGUI"/>
    <s v=" 38249742"/>
    <m/>
    <s v="Ingeniería de Sistemas"/>
    <s v="NO"/>
    <m/>
    <m/>
    <n v="22193"/>
    <e v="#REF!"/>
    <n v="31823"/>
    <d v="2023-02-02T00:00:00"/>
    <n v="66000000"/>
    <m/>
    <m/>
    <m/>
    <n v="66000000"/>
    <s v="Si "/>
    <d v="2023-02-02T00:00:00"/>
    <s v="2 CUMPLIMIENTO"/>
    <d v="2023-02-06T00:00:00"/>
    <d v="2023-12-31T00:00:00"/>
    <n v="328"/>
    <s v="JORGE ENRIQUE GARCIA LONDOÑO"/>
    <n v="79276876"/>
    <m/>
    <m/>
    <m/>
    <m/>
    <m/>
    <m/>
    <m/>
    <m/>
    <e v="#REF!"/>
    <m/>
    <m/>
    <m/>
    <m/>
    <m/>
    <m/>
    <m/>
    <m/>
    <m/>
    <n v="328"/>
    <m/>
    <m/>
  </r>
  <r>
    <s v="UNIDAD ADMINISTRATIVA ESPECIAL MIGRACIÓN COLOMBIA"/>
    <s v="900477235-6"/>
    <s v="Secop II"/>
    <n v="15"/>
    <x v="2"/>
    <s v="20232121413000010E"/>
    <s v="PCD-049-2023-9P"/>
    <x v="0"/>
    <x v="14"/>
    <s v="Contratación Directa"/>
    <s v="Prestación de Servicios Profesionales "/>
    <x v="1"/>
    <s v="PRESTACIÓN DE SERVICIOS PROFESIONALES CON AUTONOMÍA TÉCNICA Y ADMINISTRATIVA EN LA OFICINA ASESORA DE PLANEACIÓN, PARA LA ADMINISTRACIÓN, GESTIONAMIENTO, PROCESAMIENTO Y ORGANIZACIÓN DE DATOS PARA EL GEME."/>
    <s v="80161500;80121704;80101605;81112006;81112007;81102702"/>
    <s v=" Servicios de apoyo gerencial"/>
    <n v="55000000"/>
    <n v="55000000"/>
    <n v="15123"/>
    <s v="C-1199-1002-11-0-1199054-02"/>
    <s v="Celebrado"/>
    <s v="En ejecución"/>
    <m/>
    <s v="CO-057-2023"/>
    <s v="FEBRERO"/>
    <d v="2023-02-01T00:00:00"/>
    <s v="Prestación de Servicios Profesionales"/>
    <m/>
    <s v="Nivel Central"/>
    <s v="Bogotá D.C."/>
    <s v="MARIA LUISA ORTIZ"/>
    <n v="21013881"/>
    <m/>
    <s v="Ingeniería de Sistemas"/>
    <s v="NO"/>
    <m/>
    <m/>
    <n v="21938"/>
    <e v="#REF!"/>
    <n v="15123"/>
    <d v="2023-02-02T00:00:00"/>
    <n v="55000000"/>
    <m/>
    <m/>
    <m/>
    <n v="55000000"/>
    <s v="Si "/>
    <d v="2023-02-02T00:00:00"/>
    <s v="2 CUMPLIMIENTO"/>
    <d v="2023-02-02T00:00:00"/>
    <d v="2023-12-31T00:00:00"/>
    <n v="332"/>
    <s v="JORGE ENRIQUE GARCIA LONDOÑO"/>
    <n v="79276876"/>
    <m/>
    <m/>
    <m/>
    <m/>
    <m/>
    <m/>
    <m/>
    <m/>
    <e v="#REF!"/>
    <m/>
    <m/>
    <m/>
    <m/>
    <m/>
    <m/>
    <m/>
    <m/>
    <m/>
    <n v="332"/>
    <m/>
    <m/>
  </r>
  <r>
    <s v="UNIDAD ADMINISTRATIVA ESPECIAL MIGRACIÓN COLOMBIA"/>
    <s v="900477235-6"/>
    <s v="Secop II"/>
    <n v="16"/>
    <x v="2"/>
    <s v="20232121413000009E"/>
    <s v="PCD-051-2023-10P"/>
    <x v="0"/>
    <x v="14"/>
    <s v="Contratación Directa"/>
    <s v="Prestación de Servicios Profesionales "/>
    <x v="1"/>
    <s v="PRESTACIÓN DE SERVICIOS PROFESIONALES CON AUTONOMÍA TÉCNICA Y ADMINISTRATIVA EN LA OFICINA ASESORA DE PLANEACIÓN PARA LA CONSOLIDACIÓN DEL SISTEMA INTEGRADO DE GESTIÓN Y FORTALECIMIENTO DE LA GESTIÓN ORGANIZACIONAL."/>
    <s v="801615;80121704;80101605;81102702"/>
    <s v="Servicios de apoyo gerencial"/>
    <n v="55000000"/>
    <n v="55000000"/>
    <n v="15323"/>
    <s v="C-1199-1002-11-0-1199060-02"/>
    <s v="Celebrado"/>
    <s v="En ejecución"/>
    <m/>
    <s v="CO-056-2023"/>
    <s v="Enero"/>
    <d v="2023-01-31T00:00:00"/>
    <s v="Prestación de Servicios Profesionales"/>
    <m/>
    <s v="Nivel Central"/>
    <s v="Bogotá D.C."/>
    <s v="MARIA ALEJANDRA GRACIA MONTERO"/>
    <n v="1003821306"/>
    <m/>
    <s v="INGENIERA DE SISTEMAS "/>
    <s v="NO"/>
    <m/>
    <m/>
    <n v="32417"/>
    <e v="#REF!"/>
    <n v="33323"/>
    <d v="2023-02-23T00:00:00"/>
    <n v="55000000"/>
    <m/>
    <m/>
    <m/>
    <n v="55000000"/>
    <s v="SI"/>
    <d v="2023-02-03T00:00:00"/>
    <s v="2 CUMPLIMIENTO"/>
    <d v="2023-02-03T00:00:00"/>
    <d v="2023-12-31T00:00:00"/>
    <n v="331"/>
    <s v="JORGE ENRIQUE GARCIA LONDOÑO"/>
    <n v="79276876"/>
    <m/>
    <m/>
    <m/>
    <m/>
    <m/>
    <m/>
    <m/>
    <m/>
    <e v="#REF!"/>
    <m/>
    <m/>
    <m/>
    <m/>
    <m/>
    <m/>
    <m/>
    <m/>
    <m/>
    <n v="331"/>
    <m/>
    <m/>
  </r>
  <r>
    <s v="UNIDAD ADMINISTRATIVA ESPECIAL MIGRACIÓN COLOMBIA"/>
    <s v="900477235-6"/>
    <s v="Secop II"/>
    <n v="6"/>
    <x v="2"/>
    <s v="20236311413000002E"/>
    <s v="PCD-058-2023-6D"/>
    <x v="0"/>
    <x v="14"/>
    <s v="Contratación Directa"/>
    <s v="Prestación de Servicios Profesionales "/>
    <x v="19"/>
    <s v="PRESTACIÖN DE SERVICIOS DE APOYO A LA GESTIÓN DE LA SUBDIRECCIÓN DE CONTROL DISCIPLINARIO INTERNO, EN LAS LABORES SECRETARIALES, DE ACUERDO CON LAS CONDICIONES SEÑALADAS Y ESPECIFICACIONES TÉCNICAS DESCRITAS EN LOS ESTUDIOS PREVIOS."/>
    <n v="80161500"/>
    <s v=" Servicios de apoyo gerencial"/>
    <n v="29700000"/>
    <n v="29700000"/>
    <n v="10223"/>
    <s v="A-02-02-02-008-003"/>
    <s v="Celebrado"/>
    <s v="En ejecución"/>
    <m/>
    <s v="CO-052-2023"/>
    <s v="FEBRERO"/>
    <d v="2023-02-01T00:00:00"/>
    <s v="Prestación de Servicios de apoyo a la Gestion "/>
    <m/>
    <s v="Nivel Central"/>
    <s v="Bogotá D.C."/>
    <s v="DIANA MARCELA RUBIO ACOSTA"/>
    <n v="53030141"/>
    <m/>
    <s v="BACHILLER"/>
    <s v="NO"/>
    <m/>
    <m/>
    <n v="35883"/>
    <e v="#REF!"/>
    <n v="31523"/>
    <d v="2023-02-01T00:00:00"/>
    <n v="29700000"/>
    <m/>
    <m/>
    <m/>
    <n v="29700000"/>
    <s v="Si "/>
    <d v="2023-01-19T00:00:00"/>
    <s v="2 CUMPLIMIENTO"/>
    <d v="2023-02-01T00:00:00"/>
    <d v="2023-12-31T00:00:00"/>
    <n v="333"/>
    <s v="MARTHA EUGENIA RAMOS OSPINA "/>
    <n v="55164919"/>
    <m/>
    <m/>
    <m/>
    <m/>
    <m/>
    <m/>
    <m/>
    <m/>
    <e v="#REF!"/>
    <m/>
    <m/>
    <m/>
    <m/>
    <m/>
    <m/>
    <m/>
    <m/>
    <m/>
    <n v="333"/>
    <m/>
    <m/>
  </r>
  <r>
    <s v="UNIDAD ADMINISTRATIVA ESPECIAL MIGRACIÓN COLOMBIA"/>
    <s v="900477235-6"/>
    <s v="Secop II"/>
    <n v="206"/>
    <x v="0"/>
    <s v="20236211413000005E"/>
    <s v="PCD-063-2023-88SYF"/>
    <x v="1"/>
    <x v="15"/>
    <s v="Contratación Directa"/>
    <s v="Prestación de Servicios Profesionales "/>
    <x v="3"/>
    <s v="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
    <s v="81101508;80161500;80161504;80121704"/>
    <s v="Ingeniería arquitectónica - Servicios de apoyo gerencial - Servicios de oficina - Servicios legales sobre contratos"/>
    <n v="66000000"/>
    <n v="66000000"/>
    <n v="19523"/>
    <s v="C-1103-1002-2-0-1103002-02"/>
    <s v="Celebrado"/>
    <s v="En ejecución"/>
    <m/>
    <s v="CO-059-2023"/>
    <s v="FEBRERO"/>
    <d v="2023-02-08T00:00:00"/>
    <s v="Prestación de Servicios Profesionales "/>
    <m/>
    <s v="Nivel Central"/>
    <s v="Bogotá D.C."/>
    <s v="EDUARDO ALFONSO ARANGUREN"/>
    <n v="7214449"/>
    <s v="-"/>
    <s v="ARQUITECTURA"/>
    <s v="NO"/>
    <s v="No es mypime"/>
    <s v="N/A"/>
    <n v="21224"/>
    <e v="#REF!"/>
    <n v="35123"/>
    <d v="2023-02-07T00:00:00"/>
    <n v="66000000"/>
    <m/>
    <m/>
    <m/>
    <n v="66000000"/>
    <s v="Si "/>
    <d v="2023-02-07T00:00:00"/>
    <s v="2 CUMPLIMIENTO"/>
    <d v="2023-02-09T00:00:00"/>
    <d v="2023-12-31T00:00:00"/>
    <n v="325"/>
    <s v="JESUS ANDRES PORRAS GARCIA"/>
    <n v="79994053"/>
    <m/>
    <m/>
    <m/>
    <m/>
    <m/>
    <m/>
    <m/>
    <m/>
    <e v="#REF!"/>
    <m/>
    <m/>
    <m/>
    <m/>
    <m/>
    <m/>
    <m/>
    <m/>
    <m/>
    <n v="325"/>
    <m/>
    <m/>
  </r>
  <r>
    <s v="UNIDAD ADMINISTRATIVA ESPECIAL MIGRACIÓN COLOMBIA"/>
    <s v="900477235-6"/>
    <s v="Secop II"/>
    <n v="275"/>
    <x v="0"/>
    <s v="20232501413000013E"/>
    <s v="PCD-062-2023-TEC"/>
    <x v="1"/>
    <x v="15"/>
    <s v="Contratación Directa"/>
    <s v="Prestación de Servicios Profesionales "/>
    <x v="2"/>
    <s v="CONTRATAR LA PRESTACIÓN DE LOS SERVICIOS DE APOYO A LA GESTIÓN EN LA OFICINA DE TECNOLOGÍA DE LA INFORMACIÓN, DE ACUERDO CON LAS CONDICIONES Y ESPECIFICACIONES TÉCNICAS DESCRITAS EN LOS ESTUDIOS PREVIOS"/>
    <s v="81111803;81102701;81111820;81111809"/>
    <s v="Mantenimiento o soporte de redes de área local (lan) - Servicio de ingeniería para sistemas de control y monitoreo de incendios y gas - Servicios de funcionalidad del sistema - Servicio de instalación de sistemas"/>
    <n v="38500000"/>
    <n v="38500000"/>
    <n v="14623"/>
    <s v="C-1199-1002-10-0-1199001-02"/>
    <s v="Celebrado"/>
    <s v="En ejecución"/>
    <m/>
    <s v="CO-058-2023"/>
    <s v="FEBRERO"/>
    <d v="2023-02-07T00:00:00"/>
    <s v="Prestación de Servicios Profesionales "/>
    <m/>
    <s v="Nivel Central"/>
    <s v="Bogotá D.C."/>
    <s v="NÉSTOR HERNANDO MONTENEGRO GÓMEZ"/>
    <n v="19262345"/>
    <s v="-"/>
    <s v="BACHILLER ACADÉMICO"/>
    <s v="NO"/>
    <s v="No es mypime"/>
    <s v="N/A"/>
    <n v="20684"/>
    <e v="#REF!"/>
    <n v="35023"/>
    <d v="2023-02-07T00:00:00"/>
    <n v="38500000"/>
    <m/>
    <m/>
    <m/>
    <n v="38500000"/>
    <s v="Si "/>
    <d v="2023-02-06T00:00:00"/>
    <s v="2 CUMPLIMIENTO"/>
    <d v="2023-02-07T00:00:00"/>
    <d v="2023-12-31T00:00:00"/>
    <n v="327"/>
    <s v="DIEGO EMILIO OJEDA MONCAYO"/>
    <n v="19498970"/>
    <m/>
    <m/>
    <m/>
    <m/>
    <m/>
    <m/>
    <m/>
    <m/>
    <e v="#REF!"/>
    <m/>
    <m/>
    <m/>
    <m/>
    <m/>
    <m/>
    <m/>
    <m/>
    <m/>
    <n v="327"/>
    <m/>
    <m/>
  </r>
  <r>
    <s v="UNIDAD ADMINISTRATIVA ESPECIAL MIGRACIÓN COLOMBIA"/>
    <s v="900477235-6"/>
    <s v="Secop II"/>
    <n v="64"/>
    <x v="1"/>
    <s v="20236231408000001E"/>
    <s v="SIE-001-2023"/>
    <x v="1"/>
    <x v="16"/>
    <s v="Selección Abreviada"/>
    <s v="Subasta Inversa Electrónica"/>
    <x v="10"/>
    <s v="CONTRATAR EL SERVICIO DE SOPORTE ESPECIALIZADO EN BASES DE DATOS, SISTEMAS OPERATIVOS E INFRAESTRUCTURA TECNOLÓGICA DE LA PLATAFORMA MISIONAL DE MIGRACIÓN COLOMBIA."/>
    <n v="43232300"/>
    <s v="Difusión de tecnologías de información y telecomunicaciones"/>
    <n v="760000000"/>
    <n v="759787267"/>
    <n v="15923"/>
    <s v="C-1199-1002-10-0-1199001-02"/>
    <s v="En tramite "/>
    <m/>
    <m/>
    <m/>
    <m/>
    <m/>
    <m/>
    <m/>
    <m/>
    <m/>
    <m/>
    <m/>
    <m/>
    <m/>
    <m/>
    <m/>
    <m/>
    <m/>
    <m/>
    <m/>
    <m/>
    <m/>
    <m/>
    <m/>
    <m/>
    <m/>
    <m/>
    <m/>
    <m/>
    <m/>
    <m/>
    <n v="0"/>
    <m/>
    <m/>
    <m/>
    <m/>
    <m/>
    <m/>
    <m/>
    <m/>
    <m/>
    <m/>
    <m/>
    <m/>
    <m/>
    <m/>
    <m/>
    <m/>
    <m/>
    <m/>
    <m/>
    <m/>
    <m/>
    <m/>
    <m/>
  </r>
  <r>
    <s v="UNIDAD ADMINISTRATIVA ESPECIAL MIGRACIÓN COLOMBIA"/>
    <s v="900477235-6"/>
    <s v="Secop II"/>
    <n v="5"/>
    <x v="2"/>
    <s v="20236301413000001E"/>
    <s v="PCD-071-2023-5D"/>
    <x v="1"/>
    <x v="17"/>
    <s v="Contratación Directa"/>
    <s v="Prestación de Servicios Profesionales "/>
    <x v="20"/>
    <s v="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
    <n v="80111607"/>
    <s v=" Necesidades de dotación de personal jurídico temporal"/>
    <n v="52750000"/>
    <n v="52750000"/>
    <n v="21023"/>
    <s v="A-02-02-02-008-003"/>
    <s v="Celebrado"/>
    <s v="En ejecución"/>
    <m/>
    <s v="CO-065-2023"/>
    <s v="FEBRERO"/>
    <d v="2023-02-13T00:00:00"/>
    <s v="Prestación de Servicios Profesionales"/>
    <m/>
    <s v="Nivel Central"/>
    <s v="Bogotá D.C."/>
    <s v="YULENY FERNANDA FARFÁN LÓPEZ"/>
    <n v="1084258429"/>
    <m/>
    <s v="DERECHO"/>
    <s v="NO"/>
    <m/>
    <m/>
    <n v="34725"/>
    <e v="#REF!"/>
    <n v="37223"/>
    <d v="2023-02-14T00:00:00"/>
    <n v="52500000"/>
    <m/>
    <m/>
    <m/>
    <n v="52500000"/>
    <s v="SI"/>
    <d v="2023-02-14T00:00:00"/>
    <s v="2 CUMPLIMIENTO"/>
    <d v="2023-02-15T00:00:00"/>
    <d v="2023-12-31T00:00:00"/>
    <n v="319"/>
    <s v="MARTHA EUGENIA RAMOS "/>
    <n v="55164919"/>
    <m/>
    <m/>
    <m/>
    <m/>
    <m/>
    <m/>
    <m/>
    <m/>
    <e v="#REF!"/>
    <m/>
    <m/>
    <m/>
    <m/>
    <m/>
    <m/>
    <m/>
    <m/>
    <m/>
    <n v="319"/>
    <m/>
    <m/>
  </r>
  <r>
    <s v="UNIDAD ADMINISTRATIVA ESPECIAL MIGRACIÓN COLOMBIA"/>
    <s v="900477235-6"/>
    <s v="Secop II"/>
    <n v="201"/>
    <x v="0"/>
    <s v="20236221413000004E"/>
    <s v="PCD-067-2023-83SYF"/>
    <x v="1"/>
    <x v="17"/>
    <s v="Contratación Directa"/>
    <s v="Prestación de Servicios Profesionales "/>
    <x v="3"/>
    <s v="PRESTACIÓN DE SERVICIOS PROFESIONALES PARA APOYAR A MIGRACIÓN COLOMBIA EN EL DESARROLLO, OPTIMIZACIÓN Y MANTENIMIENTO DE FUNCIONALIDADES DEL SISTEMA DE GESTIÓN DOCUMENTAL ORFEO"/>
    <n v="81111504"/>
    <s v="Servicios de oficina"/>
    <n v="90000000"/>
    <n v="90000000"/>
    <n v="12723"/>
    <s v="C-1199-1002-8-0-1199018-02"/>
    <s v="Celebrado"/>
    <s v="En ejecución"/>
    <m/>
    <s v="CO-062-2023"/>
    <s v="FEBRERO"/>
    <d v="2023-02-10T00:00:00"/>
    <s v="Prestación de Servicios Profesionales "/>
    <m/>
    <s v="Nivel Central"/>
    <s v="Bogotá D.C."/>
    <s v="LILIANA GÓMEZ VELASQUEZ"/>
    <n v="51833082"/>
    <s v="-"/>
    <s v="INGENIERIA DE SISTEMAS"/>
    <s v="NO"/>
    <s v="No es mypime"/>
    <s v="N/A"/>
    <n v="24402"/>
    <e v="#REF!"/>
    <n v="36323"/>
    <d v="2023-02-10T00:00:00"/>
    <n v="90000000"/>
    <m/>
    <m/>
    <m/>
    <n v="90000000"/>
    <s v="Si "/>
    <d v="2023-02-10T00:00:00"/>
    <s v="2 CUMPLIMIENTO"/>
    <d v="2023-02-13T00:00:00"/>
    <d v="2023-12-12T00:00:00"/>
    <n v="302"/>
    <s v="DIEGO EMILIO OJEDA MONCAYO"/>
    <n v="19498970"/>
    <m/>
    <m/>
    <m/>
    <m/>
    <m/>
    <m/>
    <m/>
    <m/>
    <e v="#REF!"/>
    <m/>
    <m/>
    <m/>
    <m/>
    <m/>
    <m/>
    <m/>
    <m/>
    <m/>
    <n v="302"/>
    <m/>
    <m/>
  </r>
  <r>
    <s v="UNIDAD ADMINISTRATIVA ESPECIAL MIGRACIÓN COLOMBIA"/>
    <s v="900477235-6"/>
    <s v="Secop II"/>
    <n v="254"/>
    <x v="2"/>
    <s v="20236231416000003E"/>
    <s v="PCD-068-2023-15TH"/>
    <x v="1"/>
    <x v="18"/>
    <s v="Contratación Directa"/>
    <s v="Prestación de Servicios Profesionales "/>
    <x v="21"/>
    <s v="CONTRATAR LA PRESTACIÓN DEL SERVICIO DE ALOJAMIENTO, ALIMENTACIÓN Y APOYO LOGÍSTICO PARA ACTIVIDADES DE CAPACITACIÓN A NIVEL NACIONAL"/>
    <s v="80131504"/>
    <s v="Servicio de alojamiento temporal offshore"/>
    <n v="75000000"/>
    <n v="75000000"/>
    <n v="21623"/>
    <s v="A-02-02-02-008-003"/>
    <s v="Celebrado"/>
    <s v="En ejecución"/>
    <m/>
    <s v="CO-083-2023"/>
    <s v="FEBRERO"/>
    <d v="2023-03-02T00:00:00"/>
    <s v="INTERADMINISTRATIVO"/>
    <m/>
    <s v="Nivel Central"/>
    <s v="Bogotá D.C."/>
    <s v="SOCIEDAD HOTELERA TEQUENDAMA S.A."/>
    <s v=" 860006543"/>
    <m/>
    <s v="N/A"/>
    <s v="NO"/>
    <m/>
    <m/>
    <m/>
    <e v="#REF!"/>
    <n v="44523"/>
    <d v="2023-03-02T00:00:00"/>
    <n v="75000000"/>
    <m/>
    <m/>
    <m/>
    <n v="75000000"/>
    <s v="NO"/>
    <s v="N/A"/>
    <s v="N/A"/>
    <d v="2023-03-02T00:00:00"/>
    <d v="2023-12-31T00:00:00"/>
    <n v="304"/>
    <s v="ROSA MARIA MARTINEZ "/>
    <n v="51832657"/>
    <m/>
    <m/>
    <m/>
    <m/>
    <m/>
    <m/>
    <m/>
    <m/>
    <e v="#REF!"/>
    <m/>
    <m/>
    <m/>
    <m/>
    <m/>
    <m/>
    <m/>
    <m/>
    <m/>
    <n v="304"/>
    <m/>
    <m/>
  </r>
  <r>
    <s v="UNIDAD ADMINISTRATIVA ESPECIAL MIGRACIÓN COLOMBIA"/>
    <s v="900477235-7"/>
    <s v="TVEC"/>
    <n v="223"/>
    <x v="4"/>
    <s v="20236231410000001E"/>
    <n v="176316"/>
    <x v="1"/>
    <x v="18"/>
    <s v="minima cuantia"/>
    <s v="grandes superficies"/>
    <x v="22"/>
    <s v="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
    <s v="24141608 ,73141710 , 46181503"/>
    <s v="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
    <n v="44000000"/>
    <n v="44000000"/>
    <n v="22423"/>
    <s v="A-02-02-01-002-008"/>
    <s v="Celebrado"/>
    <s v="En ejecución"/>
    <m/>
    <s v="OC-105105"/>
    <s v="FEBRERO"/>
    <d v="2023-02-22T00:00:00"/>
    <s v="minima cuantia grandes superficies"/>
    <m/>
    <s v="Nivel Central"/>
    <s v="Bogotá D.C."/>
    <s v="CENCOSUD COLOMBIA S.A."/>
    <n v="900155107"/>
    <m/>
    <m/>
    <m/>
    <m/>
    <m/>
    <m/>
    <n v="123"/>
    <n v="41423"/>
    <d v="2023-02-23T00:00:00"/>
    <n v="43813500"/>
    <m/>
    <m/>
    <m/>
    <n v="43813500"/>
    <s v="NO"/>
    <s v="N/A"/>
    <s v="N/A"/>
    <d v="2023-02-22T00:00:00"/>
    <d v="2023-04-20T00:00:00"/>
    <n v="57"/>
    <s v="Rubi Villarraga"/>
    <n v="52665963"/>
    <m/>
    <m/>
    <m/>
    <m/>
    <m/>
    <m/>
    <m/>
    <m/>
    <n v="43813500"/>
    <m/>
    <m/>
    <m/>
    <m/>
    <m/>
    <m/>
    <m/>
    <m/>
    <m/>
    <n v="57"/>
    <m/>
    <m/>
  </r>
  <r>
    <s v="UNIDAD ADMINISTRATIVA ESPECIAL MIGRACIÓN COLOMBIA"/>
    <s v="900477235-10"/>
    <s v="Secop II"/>
    <n v="67"/>
    <x v="4"/>
    <s v="20232501413000018E"/>
    <s v="PCD-066-2023-24TEC"/>
    <x v="1"/>
    <x v="19"/>
    <s v="Contratación Directa"/>
    <s v="Prestación de Servicios Profesionales "/>
    <x v="10"/>
    <s v="Contratar la prestación de servicios profesionales para realizar actividades en mantenimiento, réplicas en bases de datos y apoyo al desarrollo de software de Migración Colombia"/>
    <s v="811115-811116-811122"/>
    <s v="Servicios Basados en Ingeniería, Investigación Y Tecnología ,Servicios informaticos Ingeniería de software o hardware -Programadores de computador - Mantenimiento y soporte de software"/>
    <n v="47250000"/>
    <n v="47250000"/>
    <n v="20223"/>
    <s v="C-1199-1002-10-0-1199001-02"/>
    <s v="Celebrado"/>
    <s v="En ejecución"/>
    <m/>
    <s v="CO-061-2023"/>
    <s v="FEBRERO"/>
    <d v="2023-02-14T00:00:00"/>
    <s v="Prestación de Servicios Profesionales"/>
    <m/>
    <s v="Nivel Central"/>
    <s v="Bogotá D.C."/>
    <s v="CRISTIAN ANDREY SALINAS FORERO"/>
    <n v="1019071696"/>
    <m/>
    <m/>
    <m/>
    <m/>
    <m/>
    <m/>
    <n v="123"/>
    <n v="37023"/>
    <d v="2023-02-14T00:00:00"/>
    <n v="47250000"/>
    <m/>
    <m/>
    <m/>
    <n v="47250000"/>
    <s v="SI"/>
    <d v="2023-02-13T00:00:00"/>
    <s v="4 CUMPLIMIENTO"/>
    <d v="2023-02-14T00:00:00"/>
    <d v="2023-12-31T00:00:00"/>
    <n v="292"/>
    <s v="DIEGO EMILIO OJEDA MONCAYO"/>
    <n v="19498970"/>
    <m/>
    <m/>
    <m/>
    <m/>
    <m/>
    <m/>
    <m/>
    <m/>
    <n v="47250000"/>
    <m/>
    <m/>
    <m/>
    <m/>
    <m/>
    <m/>
    <m/>
    <m/>
    <m/>
    <n v="292"/>
    <m/>
    <m/>
  </r>
  <r>
    <s v="UNIDAD ADMINISTRATIVA ESPECIAL MIGRACIÓN COLOMBIA"/>
    <s v="900477235-12"/>
    <s v="Secop II"/>
    <n v="58"/>
    <x v="4"/>
    <s v="20232501413000019E"/>
    <s v="PCD-065-2023-14TEC"/>
    <x v="1"/>
    <x v="19"/>
    <s v="Contratación Directa"/>
    <s v="Prestación de Servicios Profesionales "/>
    <x v="10"/>
    <s v="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
    <s v="811115-811118-811123-801116"/>
    <s v="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
    <n v="105000000"/>
    <n v="105000000"/>
    <n v="20123"/>
    <s v="C-1199-1002-10-0-1199001-02"/>
    <s v="Celebrado"/>
    <s v="En ejecución"/>
    <m/>
    <s v="CO-060-2023"/>
    <s v="FEBRERO"/>
    <d v="2023-02-14T00:00:00"/>
    <s v="Prestación de Servicios Profesionales"/>
    <m/>
    <s v="Nivel Central"/>
    <s v="Bogotá D.C."/>
    <s v="GUSTAVO ADOLFO ECHANDÍA BAUTISTA"/>
    <n v="80413656"/>
    <m/>
    <m/>
    <m/>
    <m/>
    <m/>
    <m/>
    <n v="123"/>
    <n v="37123"/>
    <d v="2023-02-14T00:00:00"/>
    <n v="105000000"/>
    <m/>
    <m/>
    <m/>
    <n v="105000000"/>
    <s v="SI"/>
    <d v="2023-02-13T00:00:00"/>
    <s v="6 CUMPLIMIENTO"/>
    <d v="2023-02-14T00:00:00"/>
    <d v="2023-12-31T00:00:00"/>
    <n v="292"/>
    <s v="DIEGO EMILIO OJEDA MONCAYO"/>
    <n v="19498970"/>
    <m/>
    <m/>
    <m/>
    <m/>
    <m/>
    <m/>
    <m/>
    <m/>
    <n v="105000000"/>
    <m/>
    <m/>
    <m/>
    <m/>
    <m/>
    <m/>
    <m/>
    <m/>
    <m/>
    <n v="292"/>
    <m/>
    <m/>
  </r>
  <r>
    <s v="UNIDAD ADMINISTRATIVA ESPECIAL MIGRACIÓN COLOMBIA"/>
    <s v="900477235-8"/>
    <s v="Secop II"/>
    <n v="272"/>
    <x v="4"/>
    <s v="20236301413000002E"/>
    <s v="PCD-072-2023-D"/>
    <x v="1"/>
    <x v="20"/>
    <s v="Contratación Directa"/>
    <s v="Prestación de Servicios Profesionales "/>
    <x v="0"/>
    <s v="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
    <n v="80111607"/>
    <s v="Servicios de gestión, Serviciosprofesionales de empresa, y Servicios administrativos ,Servicios de recursos humanos "/>
    <n v="105000000"/>
    <n v="105000000"/>
    <n v="20923"/>
    <s v="C-1199-1002-10-0-1199001-02"/>
    <s v="Celebrado"/>
    <s v="En ejecución"/>
    <m/>
    <s v="CO-064-2023"/>
    <s v="FEBRERO"/>
    <d v="2023-02-16T00:00:00"/>
    <s v="Prestación de Servicios Profesionales"/>
    <m/>
    <s v="Nivel Central"/>
    <s v="Bogotá D.C."/>
    <s v="CAMILO ANDRÉS GARCÍA GIL"/>
    <n v="2231695"/>
    <m/>
    <m/>
    <m/>
    <m/>
    <m/>
    <m/>
    <n v="123"/>
    <n v="37623"/>
    <d v="2023-02-24T00:00:00"/>
    <n v="105000000"/>
    <m/>
    <m/>
    <m/>
    <n v="105000000"/>
    <s v="SI"/>
    <d v="2023-02-16T00:00:00"/>
    <s v="2 CUMPLIMIENTO"/>
    <d v="2023-02-15T00:00:00"/>
    <d v="2023-12-31T00:00:00"/>
    <n v="319"/>
    <s v="AVILA GONZALEZ MARIA PAULA"/>
    <n v="52619262"/>
    <m/>
    <m/>
    <m/>
    <m/>
    <m/>
    <m/>
    <m/>
    <m/>
    <n v="105000000"/>
    <m/>
    <m/>
    <m/>
    <m/>
    <m/>
    <m/>
    <m/>
    <m/>
    <m/>
    <n v="319"/>
    <m/>
    <m/>
  </r>
  <r>
    <s v="UNIDAD ADMINISTRATIVA ESPECIAL MIGRACIÓN COLOMBIA"/>
    <s v="900477235-14"/>
    <s v="Secop II"/>
    <n v="59"/>
    <x v="4"/>
    <s v="20232501413000021E"/>
    <s v="PCD-070-2023-15TEC"/>
    <x v="1"/>
    <x v="20"/>
    <s v="Contratación Directa"/>
    <s v="Prestación de Servicios Profesionales "/>
    <x v="10"/>
    <s v="CONTRATAR LA PRESTACIÓN DE SERVICIOS PROFESIONALES PARA REALIZAR LA OPTIMIZACIÓN DE LA BASE DE DATOS DEL DATA CENTER DE MIGRACIÓN COLOMBIA"/>
    <n v="811115"/>
    <s v="Servicios Basados en Ingeniería, Investigación Y Tecnología ,Servicios informaticos Ingeniería de software o hardware"/>
    <n v="105000000"/>
    <n v="105000000"/>
    <n v="20423"/>
    <s v="C-1199-1002-10-0-1199001-02"/>
    <s v="Celebrado"/>
    <s v="En ejecución"/>
    <m/>
    <s v="CO-063-2023"/>
    <s v="FEBRERO"/>
    <d v="2023-02-15T00:00:00"/>
    <s v="Prestación de Servicios Profesionales"/>
    <m/>
    <s v="Nivel Central"/>
    <s v="Bogotá D.C."/>
    <s v="DANIEL ENRIQUE BERNAL CONTRERAS"/>
    <n v="86039854"/>
    <m/>
    <m/>
    <m/>
    <m/>
    <m/>
    <m/>
    <n v="123"/>
    <n v="38123"/>
    <d v="2023-02-15T00:00:00"/>
    <n v="105000000"/>
    <m/>
    <m/>
    <m/>
    <n v="105000000"/>
    <s v="SI"/>
    <d v="2023-02-20T00:00:00"/>
    <s v="8 CUMPLIMIENTO"/>
    <d v="2023-02-15T00:00:00"/>
    <d v="2023-12-31T00:00:00"/>
    <n v="319"/>
    <s v="DIEGO EMILIO OJEDA MONCAYO"/>
    <n v="19498970"/>
    <m/>
    <m/>
    <m/>
    <m/>
    <m/>
    <m/>
    <m/>
    <m/>
    <n v="105000000"/>
    <m/>
    <m/>
    <m/>
    <m/>
    <m/>
    <m/>
    <m/>
    <m/>
    <m/>
    <n v="319"/>
    <m/>
    <m/>
  </r>
  <r>
    <s v="UNIDAD ADMINISTRATIVA ESPECIAL MIGRACIÓN COLOMBIA"/>
    <s v="900477235-6"/>
    <s v="Secop II"/>
    <n v="210"/>
    <x v="0"/>
    <s v="20236211415000001E"/>
    <s v="PCD-073-2023-92SYF"/>
    <x v="1"/>
    <x v="20"/>
    <s v="Contratación Directa"/>
    <s v="Prestación de Servicios Profesionales "/>
    <x v="3"/>
    <s v="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
    <s v="81101508;80161500;80161504;80121704"/>
    <s v="Ingeniería arquitectónica - Servicios de apoyo gerencial - Servicios de oficina - Servicios legales sobre contratos"/>
    <n v="63000000"/>
    <n v="63000000"/>
    <n v="21223"/>
    <s v="C-1103-1002-2-0-1103002-02"/>
    <s v="Celebrado"/>
    <s v="En ejecución"/>
    <m/>
    <s v="CO-066-2023"/>
    <s v="FEBRERO"/>
    <d v="2023-02-20T00:00:00"/>
    <s v="Prestación de Servicios Profesionales "/>
    <m/>
    <s v="Nivel Central"/>
    <s v="Bogotá D.C."/>
    <s v="JAIME LUIS PEÑA TORRES"/>
    <n v="75066578"/>
    <s v="-"/>
    <s v="INGENIERIA ELECTRICA"/>
    <s v="NO"/>
    <s v="No es mypime"/>
    <s v="N/A"/>
    <n v="26367"/>
    <e v="#REF!"/>
    <n v="39023"/>
    <m/>
    <n v="63000000"/>
    <m/>
    <m/>
    <m/>
    <n v="63000000"/>
    <s v="Si "/>
    <d v="2023-02-17T00:00:00"/>
    <s v="2 CUMPLIMIENTO"/>
    <d v="2023-02-20T00:00:00"/>
    <d v="2023-12-31T00:00:00"/>
    <n v="314"/>
    <s v="JESUS ANDRES PORRAS GARCIA"/>
    <n v="79994053"/>
    <m/>
    <m/>
    <m/>
    <m/>
    <m/>
    <m/>
    <m/>
    <m/>
    <e v="#REF!"/>
    <m/>
    <m/>
    <m/>
    <m/>
    <m/>
    <m/>
    <m/>
    <m/>
    <m/>
    <n v="314"/>
    <m/>
    <m/>
  </r>
  <r>
    <s v="UNIDAD ADMINISTRATIVA ESPECIAL MIGRACIÓN COLOMBIA"/>
    <s v="900477235-6"/>
    <s v="Secop II"/>
    <n v="63"/>
    <x v="0"/>
    <s v="20236231415000009E"/>
    <s v="PCD-069-2023-20TEC"/>
    <x v="1"/>
    <x v="21"/>
    <s v="Contratación Directa"/>
    <s v="Exclusividad"/>
    <x v="2"/>
    <s v="EXTENSIÓN DE GARANTÍA PARA LAS LECTORAS DE DOCUMENTOS Y ACTUALIZACIÓN DEL SOFTWARE DE VALIDACIÓN DE DOCUMENTOS."/>
    <s v="43211700;81112200"/>
    <s v="Dispositivos informáticos de entrada de datos - Mantenimiento y soporte de software"/>
    <n v="1038000000"/>
    <n v="1037971678"/>
    <n v="21723"/>
    <s v="C-1199-1002-10-0-1199001-02"/>
    <s v="Celebrado"/>
    <s v="En ejecución"/>
    <m/>
    <s v="CO-081-2023"/>
    <s v="Marzo"/>
    <d v="2023-03-03T00:00:00"/>
    <s v="Compraventa"/>
    <m/>
    <s v="Nivel Central"/>
    <s v="Bogotá D.C."/>
    <s v="THALES COLOMBIA S.A "/>
    <n v="830079892"/>
    <n v="4"/>
    <s v="N/A"/>
    <s v="NO"/>
    <s v="No es mypime"/>
    <s v="Sociedad Anónima"/>
    <s v="N/A"/>
    <s v="N/A"/>
    <n v="44923"/>
    <d v="2023-03-03T00:00:00"/>
    <n v="1037971678"/>
    <m/>
    <m/>
    <m/>
    <n v="1037971678"/>
    <s v="Si "/>
    <d v="2023-03-10T00:00:00"/>
    <s v="CUMPLIMIENTO, CALIDAD DEL SERVICIO, PAGO DE SALARIOS"/>
    <d v="2023-03-10T00:00:00"/>
    <d v="2023-06-10T00:00:00"/>
    <n v="92"/>
    <s v="DIEGO EMILIO OJEDA MONCAYO"/>
    <n v="19498970"/>
    <m/>
    <m/>
    <m/>
    <m/>
    <m/>
    <m/>
    <m/>
    <m/>
    <e v="#REF!"/>
    <m/>
    <m/>
    <m/>
    <m/>
    <m/>
    <m/>
    <m/>
    <m/>
    <m/>
    <n v="92"/>
    <m/>
    <m/>
  </r>
  <r>
    <s v="UNIDAD ADMINISTRATIVA ESPECIAL MIGRACIÓN COLOMBIA"/>
    <s v="900477235-6"/>
    <s v="Secop II"/>
    <n v="238"/>
    <x v="0"/>
    <s v="20234021413000003E"/>
    <s v="PCD-064-2023-5E"/>
    <x v="1"/>
    <x v="21"/>
    <s v="Contratación Directa"/>
    <s v="Prestación de Servicios Profesionales "/>
    <x v="17"/>
    <s v="PRESTAR LOS SERVICIOS PROFESIONALES EN LA SUBDIRECCIÓN DE EXTRANJERÍA CON AUTONOMÍA TÉCNICA Y ADMINISTRATIVA, DE ACUERDO CON LAS CONDICIONES SEÑALADAS Y ESPECIFICACIONES TÉCNICAS DESCRITAS EN LOS ESTUDIOS PREVIOS"/>
    <s v="43232300;81111800;81112000;81112200;"/>
    <s v="Software de consultas y gestión de datos - Servicios de sistemas y administración de componentes de sistemas - Servicios de datos - Mantenimiento y soporte de software"/>
    <n v="90000000"/>
    <n v="90000000"/>
    <n v="19823"/>
    <s v="C-1199-1002-10-0-1199001-02"/>
    <s v="Celebrado"/>
    <s v="En ejecución"/>
    <m/>
    <s v="CO-067-2023"/>
    <s v="FEBRERO"/>
    <d v="2023-02-20T00:00:00"/>
    <s v="Prestación de Servicios Profesionales "/>
    <m/>
    <s v="Nivel Central"/>
    <s v="Bogotá D.C."/>
    <s v="LEONOR PATRICIA JIMENEZ SANTANA"/>
    <n v="51967613"/>
    <s v="-"/>
    <s v="INGENIERIA DE SISTEMAS"/>
    <s v="NO"/>
    <s v="No es mypime"/>
    <s v="N/A"/>
    <n v="25348"/>
    <e v="#REF!"/>
    <n v="40123"/>
    <d v="2023-02-20T00:00:00"/>
    <n v="90000000"/>
    <m/>
    <m/>
    <m/>
    <n v="90000000"/>
    <s v="Si "/>
    <d v="2023-02-20T00:00:00"/>
    <s v="2 CUMPLIMIENTO"/>
    <d v="2023-02-20T00:00:00"/>
    <d v="2023-12-20T00:00:00"/>
    <n v="303"/>
    <s v="MARGARITA MARIA BAUTISTA MARTINEZ"/>
    <n v="1010181437"/>
    <m/>
    <m/>
    <m/>
    <m/>
    <m/>
    <m/>
    <m/>
    <m/>
    <e v="#REF!"/>
    <m/>
    <m/>
    <m/>
    <m/>
    <m/>
    <m/>
    <m/>
    <m/>
    <m/>
    <n v="303"/>
    <m/>
    <m/>
  </r>
  <r>
    <s v="UNIDAD ADMINISTRATIVA ESPECIAL MIGRACIÓN COLOMBIA"/>
    <s v="900477235-6"/>
    <s v="TVEC"/>
    <n v="97"/>
    <x v="1"/>
    <s v="20232501410000001E"/>
    <n v="144547"/>
    <x v="1"/>
    <x v="22"/>
    <s v="Selección Abreviada"/>
    <s v="Acuerdo Marco de Precios"/>
    <x v="10"/>
    <s v="Suscripción y horas de servicio de productos GOOGLE para la entidad."/>
    <n v="81112100"/>
    <s v="Servicios Basados en Ingeniería, Investigación y Tecnología"/>
    <n v="2200000"/>
    <n v="2200000"/>
    <n v="22523"/>
    <s v="C-1199-1002-10-0-1199001-02"/>
    <s v="Celebrado"/>
    <m/>
    <m/>
    <m/>
    <m/>
    <m/>
    <m/>
    <m/>
    <m/>
    <m/>
    <m/>
    <m/>
    <m/>
    <m/>
    <m/>
    <m/>
    <m/>
    <m/>
    <m/>
    <m/>
    <m/>
    <m/>
    <m/>
    <m/>
    <m/>
    <m/>
    <m/>
    <m/>
    <m/>
    <m/>
    <m/>
    <n v="0"/>
    <m/>
    <m/>
    <m/>
    <m/>
    <m/>
    <m/>
    <m/>
    <m/>
    <m/>
    <m/>
    <m/>
    <m/>
    <m/>
    <m/>
    <m/>
    <m/>
    <m/>
    <m/>
    <m/>
    <m/>
    <m/>
    <m/>
    <m/>
  </r>
  <r>
    <s v="UNIDAD ADMINISTRATIVA ESPECIAL MIGRACIÓN COLOMBIA"/>
    <s v="900477235-15"/>
    <s v="Secop II"/>
    <n v="66"/>
    <x v="4"/>
    <s v="20232501413000020E"/>
    <s v="PCD-077-2023-23TEC"/>
    <x v="1"/>
    <x v="23"/>
    <s v="Contratación Directa"/>
    <s v="Prestación de Servicios Profesionales "/>
    <x v="10"/>
    <s v="CONTRATAR LA PRESTACIÓN DE SERVICIOS PROFESIONALES PARA REALIZAR LA ADMINISTRACIÓN DE BASES DE DATOS DE MIGRACIÓN COLOMBIA"/>
    <s v="811115-811116-811122"/>
    <s v="Servicios Basados en Ingeniería, Investigación Y Tecnología ,Servicios informaticos Ingeniería de software o hardware -Programadores de computador - Mantenimiento y soporte de software"/>
    <n v="105000000"/>
    <n v="105000000"/>
    <n v="20323"/>
    <s v="C-1199-1002-10-0-1199001-02"/>
    <s v="Celebrado"/>
    <s v="En ejecución"/>
    <m/>
    <s v="CO-069-2023"/>
    <s v="FEBRERO"/>
    <d v="2023-02-20T00:00:00"/>
    <s v="Prestación de Servicios Profesionales"/>
    <m/>
    <s v="Nivel Central"/>
    <s v="Bogotá D.C."/>
    <s v="LUIS ALEXANDER JIMENEZ ALVARADO"/>
    <n v="79694066"/>
    <m/>
    <m/>
    <m/>
    <m/>
    <m/>
    <m/>
    <n v="123"/>
    <n v="40323"/>
    <d v="2023-02-20T00:00:00"/>
    <n v="105000000"/>
    <m/>
    <m/>
    <m/>
    <n v="105000000"/>
    <s v="SI"/>
    <d v="2023-02-28T00:00:00"/>
    <s v="9 CUMPLIMIENTO"/>
    <d v="2023-02-20T00:00:00"/>
    <d v="2023-12-31T00:00:00"/>
    <n v="314"/>
    <s v="DIEGO EMILIO OJEDA MONCAYO"/>
    <n v="19498970"/>
    <m/>
    <m/>
    <m/>
    <m/>
    <m/>
    <m/>
    <m/>
    <m/>
    <n v="105000000"/>
    <m/>
    <m/>
    <m/>
    <m/>
    <m/>
    <m/>
    <m/>
    <m/>
    <m/>
    <n v="314"/>
    <m/>
    <m/>
  </r>
  <r>
    <s v="UNIDAD ADMINISTRATIVA ESPECIAL MIGRACIÓN COLOMBIA"/>
    <s v="900477235-6"/>
    <s v="Secop II"/>
    <n v="277"/>
    <x v="3"/>
    <s v="20236231408000003E"/>
    <s v="SAMC-001-2023-SYF"/>
    <x v="1"/>
    <x v="24"/>
    <s v="Selección Abreviada"/>
    <s v="Menor Cuantia"/>
    <x v="3"/>
    <s v="CONTRATAR A TODO COSTO, INCLUYENDO MATERIALES Y MANO DE OBRA, LA IMPLEMENTACIÓN DE POLOS APÍCOLAS Y OBRAS COMPLEMENTARIAS EN CUMPLIMIENTO DE LAS MEDIDAS DE COMPENSACIÓN IMPUESTAS POR CORPORINOQUIA POR LA AUTORIZACIÓN DE PERMISOS DE CONCESIÓN Y VERTIMIENTOS."/>
    <s v="21102401;70111501;70121610;70161701;77101604;77101700;77111501"/>
    <s v="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
    <n v="125000000"/>
    <n v="120963500"/>
    <n v="14823"/>
    <s v="C-1103-1002-2-0-1103001-02"/>
    <s v="En trámite"/>
    <s v="N/A"/>
    <m/>
    <m/>
    <m/>
    <m/>
    <m/>
    <m/>
    <m/>
    <m/>
    <m/>
    <m/>
    <m/>
    <m/>
    <m/>
    <m/>
    <m/>
    <m/>
    <e v="#REF!"/>
    <m/>
    <m/>
    <m/>
    <m/>
    <m/>
    <m/>
    <m/>
    <m/>
    <m/>
    <m/>
    <m/>
    <m/>
    <n v="0"/>
    <m/>
    <m/>
    <m/>
    <m/>
    <m/>
    <m/>
    <m/>
    <m/>
    <m/>
    <m/>
    <e v="#REF!"/>
    <m/>
    <m/>
    <m/>
    <m/>
    <m/>
    <m/>
    <m/>
    <m/>
    <m/>
    <n v="0"/>
    <m/>
    <m/>
  </r>
  <r>
    <s v="UNIDAD ADMINISTRATIVA ESPECIAL MIGRACIÓN COLOMBIA"/>
    <s v="900477235-6"/>
    <s v="Secop II"/>
    <n v="27"/>
    <x v="0"/>
    <s v="20232261415000001E"/>
    <s v="PCD-074-2023-9J"/>
    <x v="1"/>
    <x v="25"/>
    <s v="Contratación Directa"/>
    <s v="Exclusividad"/>
    <x v="11"/>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s v="55111515;82121802"/>
    <s v="Audio cinta de material educacional - Servicios de publicaciones financiadas por el autor"/>
    <n v="36890000"/>
    <n v="36890000"/>
    <n v="22123"/>
    <s v="A-02-02-02-008-004"/>
    <s v="Celebrado"/>
    <s v="En ejecución"/>
    <m/>
    <s v="CO-084-2023"/>
    <s v="Marzo"/>
    <d v="2023-03-09T00:00:00"/>
    <s v="Suscripción"/>
    <m/>
    <s v="Nivel Central"/>
    <s v="Bogotá D.C."/>
    <s v="AVANCE JURIDICO CASA EDITORIAL LTDA "/>
    <n v="830041326"/>
    <n v="2"/>
    <s v="N/A"/>
    <s v="SI"/>
    <s v="Pequeña"/>
    <s v="Sociedad de Responsabilidad Limitada"/>
    <s v="N/A"/>
    <s v="N/A"/>
    <n v="53123"/>
    <d v="2023-03-10T00:00:00"/>
    <n v="36890000"/>
    <m/>
    <m/>
    <m/>
    <n v="36890000"/>
    <s v="NO"/>
    <s v="N/A"/>
    <s v="N/A"/>
    <d v="2023-03-10T00:00:00"/>
    <d v="2023-10-10T00:00:00"/>
    <n v="214"/>
    <s v="CARLOS JULIO AVILA CORONEL"/>
    <n v="79279880"/>
    <m/>
    <m/>
    <m/>
    <m/>
    <m/>
    <m/>
    <m/>
    <m/>
    <e v="#REF!"/>
    <m/>
    <m/>
    <m/>
    <m/>
    <m/>
    <m/>
    <m/>
    <m/>
    <m/>
    <n v="214"/>
    <m/>
    <m/>
  </r>
  <r>
    <s v="UNIDAD ADMINISTRATIVA ESPECIAL MIGRACIÓN COLOMBIA"/>
    <s v="900477235-9"/>
    <s v="Secop II"/>
    <n v="60"/>
    <x v="4"/>
    <s v="20232501413000022E"/>
    <s v="PCD-076-2023-16TEC"/>
    <x v="1"/>
    <x v="26"/>
    <s v="Contratación Directa"/>
    <s v="Prestación de Servicios Profesionales "/>
    <x v="10"/>
    <s v="CONTRATAR LA PRESTACIÓN DE LOS SERVICIOS PROFESIONALES PARA APOYAR LA GESTIÓN DE LA OFICINA DE TECNOLOGÍA DE LA INFORMACIÓN DE MIGRACIÓN COLOMBIA, EN LAS ACTIVIDADES RELACIONADAS CON LA ADMINISTRACIÓN DE SISTEMAS OPERATIVOS LINUX, VIRTUALIZACION Y BASE DE DATOS"/>
    <s v="80111600 - 81111500 - 81111800"/>
    <s v="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
    <n v="105000000"/>
    <n v="105000000"/>
    <n v="22323"/>
    <s v="C-1199-1002-10-0-1199001-02"/>
    <s v="Celebrado"/>
    <s v="En ejecución"/>
    <m/>
    <s v="CO-068-2023"/>
    <s v="FEBRERO"/>
    <d v="2023-02-22T00:00:00"/>
    <s v="Prestación de Servicios Profesionales"/>
    <m/>
    <s v="Nivel Central"/>
    <s v="Bogotá D.C."/>
    <s v="DARÍO ORLANDO BECERRA ERAZO"/>
    <n v="94460645"/>
    <m/>
    <m/>
    <m/>
    <m/>
    <m/>
    <m/>
    <n v="123"/>
    <n v="41923"/>
    <d v="2023-02-15T00:00:00"/>
    <n v="105000000"/>
    <m/>
    <m/>
    <m/>
    <n v="105000000"/>
    <s v="SI"/>
    <d v="2023-02-25T00:00:00"/>
    <s v="3 CUMPLIMIENTO"/>
    <d v="2023-02-22T00:00:00"/>
    <d v="2023-12-31T00:00:00"/>
    <n v="312"/>
    <s v="DIEGO EMILIO OJEDA MONCAYO"/>
    <n v="19498970"/>
    <m/>
    <m/>
    <m/>
    <m/>
    <m/>
    <m/>
    <m/>
    <m/>
    <n v="105000000"/>
    <m/>
    <m/>
    <m/>
    <m/>
    <m/>
    <m/>
    <m/>
    <m/>
    <m/>
    <n v="312"/>
    <m/>
    <m/>
  </r>
  <r>
    <s v="UNIDAD ADMINISTRATIVA ESPECIAL MIGRACIÓN COLOMBIA"/>
    <s v="900477235-11"/>
    <s v="Secop II"/>
    <n v="65"/>
    <x v="4"/>
    <s v="20232501413000017E"/>
    <s v="PCD-075-2023-22TEC"/>
    <x v="1"/>
    <x v="26"/>
    <s v="Contratación Directa"/>
    <s v="Prestación de Servicios Profesionales "/>
    <x v="10"/>
    <s v="CONTRATAR LA PRESTACIÓN DE LOS SERVICIOS PROFESIONALES PARA EL SOPORTE AL SITIO WEB DE LA UNIDAD ADMINISTRATIVA ESPECIAL MIGRACIÓN COLOMBIA DE CONFORMIDAD CON LAS ESPECIFICACIONES TÉCNICAS"/>
    <s v="80111614 - 81111500 - 81111800"/>
    <s v="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
    <n v="80000000"/>
    <n v="80000000"/>
    <n v="20023"/>
    <s v="C-1199-1002-10-0-1199001-02"/>
    <s v="Celebrado"/>
    <s v="En ejecución"/>
    <m/>
    <s v="CO-071-2023"/>
    <s v="FEBRERO"/>
    <d v="2023-02-22T00:00:00"/>
    <s v="Prestación de Servicios Profesionales"/>
    <m/>
    <s v="Nivel Central"/>
    <s v="Bogotá D.C."/>
    <s v="JONNATHAN DAVID TRIANA BOTIA"/>
    <n v="1014211359"/>
    <m/>
    <m/>
    <m/>
    <m/>
    <m/>
    <m/>
    <n v="123"/>
    <n v="41523"/>
    <d v="2023-02-23T00:00:00"/>
    <n v="80000000"/>
    <m/>
    <m/>
    <m/>
    <n v="80000000"/>
    <s v="SI"/>
    <d v="2023-02-23T00:00:00"/>
    <s v="5 CUMPLIMIENTO"/>
    <d v="2023-02-22T00:00:00"/>
    <d v="2023-12-31T00:00:00"/>
    <n v="312"/>
    <s v="DIEGO EMILIO OJEDA MONCAYO"/>
    <n v="19498970"/>
    <m/>
    <m/>
    <m/>
    <m/>
    <m/>
    <m/>
    <m/>
    <m/>
    <n v="80000000"/>
    <m/>
    <m/>
    <m/>
    <m/>
    <m/>
    <m/>
    <m/>
    <m/>
    <m/>
    <n v="312"/>
    <m/>
    <m/>
  </r>
  <r>
    <s v="UNIDAD ADMINISTRATIVA ESPECIAL MIGRACIÓN COLOMBIA"/>
    <s v="900477235-13"/>
    <s v="Secop II"/>
    <n v="68"/>
    <x v="4"/>
    <s v="20232501413000023E"/>
    <s v="PCD-078-2023-25TEC"/>
    <x v="1"/>
    <x v="26"/>
    <s v="Contratación Directa"/>
    <s v="Prestación de Servicios Profesionales "/>
    <x v="10"/>
    <s v="CONTRATAR LA PRESTACIÓN DE LOS SERVICIOS PROFESIONALES PARA APOYAR LA GESTIÓN DE LA OFICINA DE TECNOLOGÍA DE LA INFORMACIÓN DE MIGRACIÓN COLOMBIA, EN LAS ACTIVIDADES PROPIAS DEL DESARROLLO DE APLICACIONES EN LENGUAJE .NET"/>
    <s v="80111600-811115-811120"/>
    <s v="Servicios de Gestión Servicios Profesional es de Empresa y Servicios Administrativos ,Servicios de recursos humanos ,Servicios de personal temporal - Servicios informaticos Ingeniería de software o hardware - Servicios de datos"/>
    <n v="84000000"/>
    <n v="84000000"/>
    <n v="22623"/>
    <s v="C-1199-1002-10-0-1199001-02"/>
    <s v="Celebrado"/>
    <s v="En ejecución"/>
    <m/>
    <s v="CO-072-2023"/>
    <s v="FEBRERO"/>
    <d v="2023-02-22T00:00:00"/>
    <s v="Prestación de Servicios Profesionales"/>
    <m/>
    <s v="Nivel Central"/>
    <s v="Bogotá D.C."/>
    <s v="DIEGO ESTEBAN PAREDES BURBANO"/>
    <n v="1085298706"/>
    <m/>
    <m/>
    <m/>
    <m/>
    <m/>
    <m/>
    <n v="123"/>
    <n v="41623"/>
    <d v="2023-02-23T00:00:00"/>
    <n v="84000000"/>
    <m/>
    <m/>
    <m/>
    <n v="84000000"/>
    <s v="SI"/>
    <d v="2023-02-24T00:00:00"/>
    <s v="7 CUMPLIMIENTO"/>
    <d v="2023-02-22T00:00:00"/>
    <d v="2023-12-31T00:00:00"/>
    <n v="312"/>
    <s v="DIEGO EMILIO OJEDA MONCAYO"/>
    <n v="19498970"/>
    <m/>
    <m/>
    <m/>
    <m/>
    <m/>
    <m/>
    <m/>
    <m/>
    <n v="84000000"/>
    <m/>
    <m/>
    <m/>
    <m/>
    <m/>
    <m/>
    <m/>
    <m/>
    <m/>
    <n v="312"/>
    <m/>
    <m/>
  </r>
  <r>
    <s v="UNIDAD ADMINISTRATIVA ESPECIAL MIGRACIÓN COLOMBIA"/>
    <s v="900477235-6"/>
    <s v="Secop II"/>
    <n v="235"/>
    <x v="0"/>
    <s v="20236231413000002E"/>
    <s v="PCD-080-2023-2E"/>
    <x v="1"/>
    <x v="26"/>
    <s v="Contratación Directa"/>
    <s v="Prestación de Servicios Profesionales "/>
    <x v="17"/>
    <s v="CONTRATAR LA PRESTACIÓN DE SERVICIOS PROFESIONALES ESPECIALIZADOS PARA LA VALIDACIÓN O AUTENTICACIÓN DE IDENTIDAD, RELACIONADA CON USUARIOS QUE REQUIEREN CERTIFICADOS DE MOVIMIENTOS MIGRATORIOS."/>
    <s v="43232300;81111800;81112000;81112200"/>
    <s v="Software de consultas y gestión de datos - Servicios de sistemas y administración de componentes de sistemas - Servicios de datos - Mantenimiento y soporte de software"/>
    <n v="34410000"/>
    <n v="34410000"/>
    <n v="21123"/>
    <s v="A-02-02-02-008-003"/>
    <s v="Celebrado"/>
    <s v="En ejecución"/>
    <m/>
    <s v="CO-074-2023"/>
    <s v="Marzo"/>
    <d v="2023-03-17T00:00:00"/>
    <s v="Prestación de Servicios Profesionales "/>
    <m/>
    <s v="Nivel Central"/>
    <s v="Bogotá D.C."/>
    <s v="EXPERIAN COLOMBIA S.A."/>
    <n v="900422614"/>
    <n v="8"/>
    <s v="N/A"/>
    <s v="NO"/>
    <s v="No es mypime"/>
    <s v="Sociedad Anónima"/>
    <s v="N/A"/>
    <s v="N/A"/>
    <n v="59323"/>
    <d v="2023-03-22T00:00:00"/>
    <n v="34410000"/>
    <m/>
    <m/>
    <m/>
    <n v="34410000"/>
    <s v="NO"/>
    <s v="N/A"/>
    <s v="N/A"/>
    <d v="2023-03-22T00:00:00"/>
    <d v="2023-12-31T00:00:00"/>
    <n v="284"/>
    <s v="HENRY ALBERTO PEREIRA VERA"/>
    <n v="88237021"/>
    <m/>
    <m/>
    <m/>
    <m/>
    <m/>
    <m/>
    <m/>
    <m/>
    <e v="#REF!"/>
    <m/>
    <m/>
    <m/>
    <m/>
    <m/>
    <m/>
    <m/>
    <m/>
    <m/>
    <n v="284"/>
    <m/>
    <m/>
  </r>
  <r>
    <s v="UNIDAD ADMINISTRATIVA ESPECIAL MIGRACIÓN COLOMBIA"/>
    <s v="900477235-6"/>
    <s v="Secop II"/>
    <n v="120"/>
    <x v="1"/>
    <s v="20236231415000002E"/>
    <s v="PCD-079-2023-30TEC"/>
    <x v="1"/>
    <x v="27"/>
    <s v="Contratación Directa"/>
    <s v="Exclusividad"/>
    <x v="10"/>
    <s v="Contratar la actualización de las licencias para los sistemas KACTUS y SEVEN y servicio de soporte técnico especializado presencial, de conformidad con las especificaciones de la Unidad Administrativa"/>
    <n v="40141700"/>
    <s v="Componentes y Equipos para Distribución y Sistemas de Acondicionamiento "/>
    <n v="614700000"/>
    <n v="429942610"/>
    <n v="22823"/>
    <s v="C-1199-1002-10-0-1199001-02"/>
    <s v="Celebrado"/>
    <s v="En ejecución"/>
    <m/>
    <s v="CO-098-2023"/>
    <s v="Marzo"/>
    <d v="2023-03-24T00:00:00"/>
    <s v="Contrato Compraventa"/>
    <m/>
    <s v="Nivel Central"/>
    <s v="Bogotá D.C."/>
    <s v="DIGITAL WARE S.A.S"/>
    <n v="830042244"/>
    <n v="1"/>
    <m/>
    <m/>
    <m/>
    <m/>
    <m/>
    <m/>
    <n v="61623"/>
    <d v="2023-03-27T00:00:00"/>
    <n v="429942199.07999998"/>
    <m/>
    <m/>
    <m/>
    <n v="429942199.07999998"/>
    <s v="Si "/>
    <d v="2023-03-24T00:00:00"/>
    <s v="2 CUMPLIMIENTO"/>
    <d v="2023-03-29T00:00:00"/>
    <d v="2023-12-31T00:00:00"/>
    <n v="277"/>
    <s v="DIEGO EMILIO OJEDA MONCAYO"/>
    <n v="19498970"/>
    <m/>
    <m/>
    <m/>
    <m/>
    <m/>
    <m/>
    <m/>
    <m/>
    <m/>
    <m/>
    <m/>
    <m/>
    <m/>
    <m/>
    <m/>
    <m/>
    <m/>
    <m/>
    <m/>
    <m/>
    <m/>
  </r>
  <r>
    <s v="UNIDAD ADMINISTRATIVA ESPECIAL MIGRACIÓN COLOMBIA"/>
    <s v="900477235-6"/>
    <s v="Secop II"/>
    <n v="10"/>
    <x v="2"/>
    <s v="20232121413000011E"/>
    <s v="PCD-083-2023-4D"/>
    <x v="1"/>
    <x v="27"/>
    <s v="Contratación Directa"/>
    <s v="Prestación de Servicios Profesionales "/>
    <x v="1"/>
    <s v="PRESTACIÓN DE SERVICIOS PROFESIONALES CON AUTONOMÍA TÉCNICA Y ADMINISTRATIVA A LA OFICINA ASESORA DE PLANEACIÓN EN ASUNTOS DE EXTRACCIÓN Y CONSOLIDACIÓN DE INFORMACIÓN CUANTITATIVA Y CUALITATIVA."/>
    <n v="80161500"/>
    <s v=" Servicios de apoyo gerencial"/>
    <n v="36750000"/>
    <n v="36750000"/>
    <n v="22223"/>
    <s v="C-1199-1002-11-0-1199054-02"/>
    <s v="Celebrado"/>
    <s v="En ejecución"/>
    <m/>
    <s v="CO-083-2023"/>
    <s v="Marzo"/>
    <d v="2023-03-02T00:00:00"/>
    <s v="Prestación de Servicios Profesionales"/>
    <m/>
    <s v="Nivel Central"/>
    <s v="Bogotá D.C."/>
    <s v="BENKOS TRIANA OCAMPO"/>
    <n v="1020831517"/>
    <m/>
    <s v="ECONOMISTA "/>
    <s v="NO"/>
    <m/>
    <m/>
    <n v="35883"/>
    <n v="25"/>
    <n v="43223"/>
    <d v="2023-02-28T00:00:00"/>
    <n v="36750000"/>
    <m/>
    <m/>
    <m/>
    <n v="36750000"/>
    <s v="SI"/>
    <d v="2023-02-27T00:00:00"/>
    <s v="2 CUMPLIMIENTO"/>
    <d v="2023-02-28T00:00:00"/>
    <d v="2023-12-31T00:00:00"/>
    <n v="306"/>
    <s v="JORGE ENRIQUE GARCIA LONDOÑO"/>
    <n v="79276876"/>
    <m/>
    <m/>
    <m/>
    <m/>
    <m/>
    <m/>
    <m/>
    <m/>
    <n v="36750000"/>
    <m/>
    <m/>
    <m/>
    <m/>
    <m/>
    <m/>
    <m/>
    <m/>
    <m/>
    <n v="306"/>
    <m/>
    <m/>
  </r>
  <r>
    <s v="UNIDAD ADMINISTRATIVA ESPECIAL MIGRACIÓN COLOMBIA"/>
    <s v="900477235-6"/>
    <s v="Secop II"/>
    <n v="154"/>
    <x v="2"/>
    <s v="20236231414000005E"/>
    <s v="PCD-084-2023-36SYF"/>
    <x v="1"/>
    <x v="27"/>
    <s v="Contratación Directa"/>
    <s v="Prestación de Servicios Profesionales "/>
    <x v="23"/>
    <s v="Contratar el arrendamiento de un área dentro del predio ubicado en la calle 22 n # 8n - 47 de la ciudad de Cúcuta para el funcionamiento del Centro Facilitador de Servicios Migratorios de la UAEMC"/>
    <n v="80131502"/>
    <s v="Arrendamiento de instalaciones comerciales o industriales"/>
    <n v="88000000"/>
    <n v="88000000"/>
    <n v="25423"/>
    <s v="A-02-02-02-007-002"/>
    <s v="Celebrado"/>
    <s v="En ejecución"/>
    <m/>
    <s v="CO-082-2023"/>
    <s v="Marzo"/>
    <d v="2023-03-02T00:00:00"/>
    <s v="Arrendamiento"/>
    <m/>
    <s v="Nivel Central"/>
    <s v="Bogotá D.C."/>
    <s v="CEDAC CUCUTA LTDA"/>
    <n v="890505046"/>
    <m/>
    <s v="N/A"/>
    <s v="NO"/>
    <m/>
    <m/>
    <m/>
    <n v="123"/>
    <s v="44223 "/>
    <d v="2023-03-01T00:00:00"/>
    <n v="88000000"/>
    <m/>
    <m/>
    <m/>
    <n v="88000000"/>
    <s v="NO"/>
    <s v="N/A"/>
    <s v="N/A"/>
    <d v="2023-02-28T00:00:00"/>
    <d v="2023-12-31T00:00:00"/>
    <n v="306"/>
    <s v="Sergio Andres Blanco "/>
    <n v="88264550"/>
    <m/>
    <m/>
    <m/>
    <m/>
    <m/>
    <m/>
    <m/>
    <m/>
    <n v="88000000"/>
    <m/>
    <m/>
    <m/>
    <m/>
    <m/>
    <m/>
    <m/>
    <m/>
    <m/>
    <n v="306"/>
    <m/>
    <m/>
  </r>
  <r>
    <s v="UNIDAD ADMINISTRATIVA ESPECIAL MIGRACIÓN COLOMBIA"/>
    <s v="900477235-6"/>
    <s v="Secop II"/>
    <n v="62"/>
    <x v="0"/>
    <s v="20232541413000001E"/>
    <s v="PCD-082-2023-18TEC"/>
    <x v="1"/>
    <x v="27"/>
    <s v="Contratación Directa"/>
    <s v="Prestación de Servicios Profesionales "/>
    <x v="2"/>
    <s v="CONTRATAR EL MANTENIMIENTO E IMPLEMENTACIÓN DE MEJORAS SEGÚN NECESIDADES MISIONALES DE MIGRACIÓN COLOMBIA PARA LA APLICACIÓN LIBERTAPP"/>
    <s v="43232612;81112209."/>
    <s v=" Software de fabricación asistida por computador cam - Mantenimiento de software de desarrollo"/>
    <n v="17100000"/>
    <n v="17100000"/>
    <n v="20623"/>
    <s v="C-1199-1002-10-0-1199001-02"/>
    <s v="Celebrado"/>
    <s v="En ejecución"/>
    <m/>
    <s v="CO-075-2023"/>
    <s v="Marzo"/>
    <d v="2023-03-01T00:00:00"/>
    <s v="Prestación de Servicios Profesionales"/>
    <m/>
    <s v="Nivel Central"/>
    <s v="Bogotá D.C."/>
    <s v="CANNED HEAD SAS"/>
    <n v="900877941"/>
    <n v="4"/>
    <s v="N/A"/>
    <s v="NO"/>
    <s v="No es mypime"/>
    <s v="Sociedad por acciones simplificadas"/>
    <s v="N/A"/>
    <s v="N/A"/>
    <n v="45823"/>
    <d v="2023-03-06T00:00:00"/>
    <n v="17062287"/>
    <m/>
    <m/>
    <m/>
    <n v="17062287"/>
    <s v="Si "/>
    <d v="2023-03-03T00:00:00"/>
    <s v="2 CUMPLIMIENTO"/>
    <d v="2023-03-06T00:00:00"/>
    <d v="2023-12-31T00:00:00"/>
    <n v="300"/>
    <s v="DIEGO EMILIO OJEDA MONCAYO"/>
    <n v="19498970"/>
    <m/>
    <m/>
    <m/>
    <m/>
    <m/>
    <m/>
    <m/>
    <m/>
    <e v="#REF!"/>
    <m/>
    <m/>
    <m/>
    <m/>
    <m/>
    <m/>
    <m/>
    <m/>
    <m/>
    <n v="300"/>
    <m/>
    <m/>
  </r>
  <r>
    <s v="UNIDAD ADMINISTRATIVA ESPECIAL MIGRACIÓN COLOMBIA"/>
    <s v="900477235-6"/>
    <s v="Secop II"/>
    <n v="199"/>
    <x v="0"/>
    <s v="20236231420000001E"/>
    <s v="MC-002-2023-81SYF"/>
    <x v="1"/>
    <x v="27"/>
    <s v="Mínima cuantía"/>
    <s v="Prestación de Servicios Profesionales "/>
    <x v="3"/>
    <s v="CONTRATAR LA PRESTACIÓN DEL SERVICIO DE LAVADO DEL PARQUE AUTOMOTOR DE MIGRACIÓN COLOMBIA EN LA CIUDAD DE BOGOTÁ D.C."/>
    <n v="76111801"/>
    <s v="Limpieza de carros o barcos"/>
    <n v="16325000"/>
    <n v="16325000"/>
    <n v="20823"/>
    <s v="A-02-02-02-008-007"/>
    <s v="Celebrado"/>
    <s v="En ejecución"/>
    <m/>
    <s v="AO-004-2023"/>
    <s v="Marzo"/>
    <d v="2023-03-22T00:00:00"/>
    <s v="Prestación de Servicios Profesionales"/>
    <m/>
    <s v="Nivel Central"/>
    <s v="Bogotá D.C."/>
    <s v="CENTRO CAR 19 LTDA"/>
    <n v="800250589"/>
    <n v="1"/>
    <s v="N/A"/>
    <s v="SI"/>
    <s v="Pequeña"/>
    <s v="Sociedad de Responsabilidad Limitada"/>
    <s v="N/A"/>
    <s v="N/A"/>
    <n v="59623"/>
    <d v="2023-03-23T00:00:00"/>
    <n v="16325000"/>
    <m/>
    <m/>
    <m/>
    <n v="16325000"/>
    <s v="Si "/>
    <m/>
    <m/>
    <m/>
    <m/>
    <m/>
    <m/>
    <m/>
    <m/>
    <m/>
    <m/>
    <m/>
    <m/>
    <m/>
    <m/>
    <m/>
    <e v="#REF!"/>
    <m/>
    <m/>
    <m/>
    <m/>
    <m/>
    <m/>
    <m/>
    <m/>
    <m/>
    <n v="0"/>
    <m/>
    <s v="NO HAN ENVIADO PÓLIZAS"/>
  </r>
  <r>
    <s v="UNIDAD ADMINISTRATIVA ESPECIAL MIGRACIÓN COLOMBIA"/>
    <s v="900477235-6"/>
    <s v="Secop II"/>
    <n v="189"/>
    <x v="1"/>
    <s v="20236231408000006E"/>
    <s v="SIE-002-2023"/>
    <x v="1"/>
    <x v="28"/>
    <s v="Selección Abreviada"/>
    <s v="Subasta Inversa Electrónica"/>
    <x v="18"/>
    <s v="Contratar la prestación del servicio de mantenimiento preventivo y correctivo de aires acondicionados a nivel nacional"/>
    <n v="40101700"/>
    <s v="Componentes y equipos para distribución y sistemas de acondicionamiento"/>
    <n v="120000000"/>
    <n v="120000000"/>
    <n v="21423"/>
    <s v="A-02-02-02-008-007"/>
    <s v="En tramite "/>
    <m/>
    <m/>
    <m/>
    <m/>
    <m/>
    <m/>
    <m/>
    <m/>
    <m/>
    <m/>
    <m/>
    <m/>
    <m/>
    <m/>
    <m/>
    <m/>
    <m/>
    <m/>
    <m/>
    <m/>
    <m/>
    <m/>
    <m/>
    <m/>
    <m/>
    <m/>
    <m/>
    <m/>
    <m/>
    <m/>
    <n v="0"/>
    <m/>
    <m/>
    <m/>
    <m/>
    <m/>
    <m/>
    <m/>
    <m/>
    <m/>
    <m/>
    <m/>
    <m/>
    <m/>
    <m/>
    <m/>
    <m/>
    <m/>
    <m/>
    <m/>
    <m/>
    <m/>
    <m/>
    <m/>
  </r>
  <r>
    <s v="UNIDAD ADMINISTRATIVA ESPECIAL MIGRACIÓN COLOMBIA"/>
    <s v="900477235-6"/>
    <s v="Secop II"/>
    <n v="280"/>
    <x v="2"/>
    <s v="20236231407000008E"/>
    <s v="MC-003-2023"/>
    <x v="1"/>
    <x v="28"/>
    <s v="Mínima cuantía"/>
    <s v="Prestación de Servicios Profesionales "/>
    <x v="3"/>
    <s v="CONTRATAR EL SERVICIO INTEGRAL DE ASEO Y CAFETERIA REGION 9: SEDE 1: CFSM CÚCUTA, SEDE 2: CFSM BUCARAMANGA, SEDE 3: CENAF TIENDITAS, SEDE 4: CENAF VILLA DEL ROSARIO."/>
    <s v="76111501 - 90101700"/>
    <s v="Servicios de limpieza de edificios"/>
    <n v="52000000"/>
    <n v="52000000"/>
    <n v="24523"/>
    <s v="A-02-02-02-006-003 -A-02-02-02-008-005"/>
    <s v="Cancelado"/>
    <m/>
    <m/>
    <m/>
    <m/>
    <m/>
    <m/>
    <m/>
    <s v="Nivel Central"/>
    <s v="Bogotá D.C."/>
    <m/>
    <m/>
    <m/>
    <m/>
    <m/>
    <m/>
    <m/>
    <m/>
    <m/>
    <m/>
    <m/>
    <m/>
    <m/>
    <m/>
    <m/>
    <n v="0"/>
    <m/>
    <m/>
    <m/>
    <m/>
    <m/>
    <m/>
    <m/>
    <m/>
    <m/>
    <m/>
    <m/>
    <m/>
    <m/>
    <m/>
    <m/>
    <m/>
    <e v="#VALUE!"/>
    <m/>
    <m/>
    <m/>
    <m/>
    <m/>
    <m/>
    <m/>
    <m/>
    <m/>
    <n v="0"/>
    <m/>
    <m/>
  </r>
  <r>
    <s v="UNIDAD ADMINISTRATIVA ESPECIAL MIGRACIÓN COLOMBIA"/>
    <s v="900477235-6"/>
    <s v="Secop II"/>
    <n v="169"/>
    <x v="1"/>
    <s v="20236231412000001E"/>
    <s v="LP-001-2023"/>
    <x v="1"/>
    <x v="29"/>
    <s v="Licitación Pública"/>
    <s v="Licitación Pública"/>
    <x v="18"/>
    <s v="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
    <n v="84131500"/>
    <s v="Servicios Financieros y de Seguros"/>
    <n v="2185740000"/>
    <n v="1267351148"/>
    <s v="19023    - VF 1323"/>
    <s v="A-02-02-02-007-001"/>
    <s v="En tramite "/>
    <m/>
    <m/>
    <m/>
    <m/>
    <m/>
    <m/>
    <m/>
    <m/>
    <m/>
    <m/>
    <m/>
    <m/>
    <m/>
    <m/>
    <m/>
    <m/>
    <m/>
    <m/>
    <m/>
    <m/>
    <m/>
    <m/>
    <m/>
    <m/>
    <m/>
    <m/>
    <m/>
    <m/>
    <m/>
    <m/>
    <n v="0"/>
    <m/>
    <m/>
    <m/>
    <m/>
    <m/>
    <m/>
    <m/>
    <m/>
    <m/>
    <m/>
    <m/>
    <m/>
    <m/>
    <m/>
    <m/>
    <m/>
    <m/>
    <m/>
    <m/>
    <m/>
    <m/>
    <m/>
    <m/>
  </r>
  <r>
    <s v="UNIDAD ADMINISTRATIVA ESPECIAL MIGRACIÓN COLOMBIA"/>
    <s v="900477235-6"/>
    <s v="Secop II"/>
    <n v="269"/>
    <x v="1"/>
    <s v="20236231408000008E"/>
    <s v="SAMC-002-2023"/>
    <x v="1"/>
    <x v="29"/>
    <s v="Selección Abreviada"/>
    <s v="Menor Cuantia"/>
    <x v="22"/>
    <s v="CONTRATAR UNA INSTITUCIÓN PRESTADORA DE SERVICIO DE SALUD ESPECIALIZADA EN LA REALIZACIÓN DE EXÁMENES MÉDICOS OCUPACIONALES DE INGRESO, EGRESO, PERIÓDICOS Y POST-INCAPACIDAD Y DE REQUERIRSE ANÁLISIS DE PUESTO DE TRABAJO."/>
    <m/>
    <m/>
    <n v="90000000"/>
    <n v="90000000"/>
    <m/>
    <m/>
    <s v="Celebrado"/>
    <s v="En ejecución"/>
    <m/>
    <s v="OC105871"/>
    <s v="Marzo"/>
    <d v="2023-03-06T00:00:00"/>
    <s v="Orden de Compra"/>
    <m/>
    <s v="Nivel Central"/>
    <s v="Bogotá D.C."/>
    <s v="XERTICA COLOMBIA SAS"/>
    <n v="830077380"/>
    <n v="6"/>
    <m/>
    <m/>
    <m/>
    <m/>
    <m/>
    <n v="123"/>
    <n v="46823"/>
    <d v="2023-02-08T00:00:00"/>
    <n v="1468821137.8"/>
    <m/>
    <m/>
    <m/>
    <n v="1468821137.8"/>
    <s v="Si "/>
    <d v="2023-03-08T00:00:00"/>
    <s v="2 CUMPLIMIENTO"/>
    <d v="2023-03-08T00:00:00"/>
    <d v="2023-12-31T00:00:00"/>
    <n v="298"/>
    <s v="DIEGO EMILIO OJEDA MONCAYO"/>
    <n v="19498970"/>
    <m/>
    <m/>
    <m/>
    <m/>
    <m/>
    <m/>
    <m/>
    <m/>
    <m/>
    <m/>
    <m/>
    <m/>
    <m/>
    <m/>
    <m/>
    <m/>
    <m/>
    <m/>
    <m/>
    <m/>
    <m/>
  </r>
  <r>
    <s v="UNIDAD ADMINISTRATIVA ESPECIAL MIGRACIÓN COLOMBIA"/>
    <s v="900477235-6"/>
    <s v="Secop II"/>
    <n v="35"/>
    <x v="0"/>
    <s v="20236231415000007E"/>
    <s v="PCD-081-2023-9COM"/>
    <x v="1"/>
    <x v="29"/>
    <s v="Contratación Directa"/>
    <s v="Exclusividad"/>
    <x v="4"/>
    <s v="CONTRATAR LA PUBLICACIÓN DE DIFERENTES AVISOS DE PRENSA EN EL PERIÓDICO LA REPÚBLICA, DE ACUERDO A LAS NECESIDADES REQUERIDAS POR LA ENTIDAD."/>
    <n v="82121506"/>
    <s v="Impresión de publicaciones"/>
    <n v="5000000"/>
    <n v="5000000"/>
    <n v="24823"/>
    <s v="A-02-02-02-008-003"/>
    <s v="Celebrado"/>
    <s v="En ejecución"/>
    <m/>
    <s v="CO-104-2023"/>
    <s v="Marzo"/>
    <d v="2023-03-17T00:00:00"/>
    <s v="Prestación de Servicios Profesionales"/>
    <m/>
    <s v="Nivel Central"/>
    <s v="Bogotá D.C."/>
    <s v="EDITORIAL LA REPUBLICA SAS"/>
    <n v="901017183"/>
    <n v="2"/>
    <s v="N/A"/>
    <s v="NO"/>
    <s v="No es mypime"/>
    <s v="Sociedad por acciones simplificadas"/>
    <s v="N/A"/>
    <s v="N/A"/>
    <n v="57623"/>
    <d v="2023-03-17T00:00:00"/>
    <n v="5000000"/>
    <m/>
    <m/>
    <m/>
    <n v="5000000"/>
    <s v="NO"/>
    <s v="N/A"/>
    <s v="N/A"/>
    <d v="2023-03-21T00:00:00"/>
    <d v="2023-12-31T00:00:00"/>
    <n v="285"/>
    <s v="MARITZA ROCIO SERRANO VILLAMIL"/>
    <n v="39757630"/>
    <m/>
    <m/>
    <m/>
    <m/>
    <m/>
    <m/>
    <m/>
    <m/>
    <e v="#REF!"/>
    <m/>
    <m/>
    <m/>
    <m/>
    <m/>
    <m/>
    <m/>
    <m/>
    <m/>
    <n v="285"/>
    <m/>
    <m/>
  </r>
  <r>
    <s v="UNIDAD ADMINISTRATIVA ESPECIAL MIGRACIÓN COLOMBIA"/>
    <s v="900477235-6"/>
    <s v="Secop II"/>
    <n v="71"/>
    <x v="0"/>
    <s v="20236231407000001E"/>
    <s v="MC-005-2023-29TEC"/>
    <x v="1"/>
    <x v="29"/>
    <s v="Mínima cuantía"/>
    <s v="Prestación de Servicios Profesionales "/>
    <x v="2"/>
    <s v="SERVICIO DE MANTENIMIENTO PREVENTIVO Y CORRECTIVO CON SUMINISTRO DE REPUESTOS Y BATERÍAS, DE LAS UPS MARCAS POWERSUN, TRIPP LITE Y SAT. "/>
    <n v="72103302"/>
    <s v="Mantenimiento o soporte de equipo de telecomunicaciones"/>
    <n v="11800000"/>
    <n v="11800000"/>
    <n v="22723"/>
    <s v="C-1199-1002-10-0-1199001-02"/>
    <s v="Celebrado"/>
    <s v="En ejecución"/>
    <m/>
    <s v="AO-007-2023"/>
    <s v="Abril"/>
    <d v="2023-04-11T00:00:00"/>
    <s v="Prestación de Servicios"/>
    <m/>
    <s v="Nivel Central"/>
    <s v="Bogotá D.C."/>
    <s v="POWERSUN SAS"/>
    <n v="900098348"/>
    <n v="3"/>
    <s v="N/A"/>
    <s v="SI"/>
    <s v="N/A"/>
    <s v="Sociedad por acciones simplificadas"/>
    <s v="N/A"/>
    <s v="N/A"/>
    <n v="69623"/>
    <d v="2023-04-12T00:00:00"/>
    <n v="7186316"/>
    <m/>
    <m/>
    <m/>
    <n v="7186316"/>
    <s v="Si "/>
    <d v="2023-04-03T00:00:00"/>
    <s v="CUMPLIMIENTO, CALIDAD DEL SERVICIO, PAGO DE SALARIOS"/>
    <d v="2023-04-12T00:00:00"/>
    <d v="2023-12-31T00:00:00"/>
    <n v="263"/>
    <s v="DIEGO EMILIO OJEDA MONCAYO"/>
    <n v="19498970"/>
    <m/>
    <m/>
    <m/>
    <m/>
    <m/>
    <m/>
    <m/>
    <m/>
    <e v="#REF!"/>
    <m/>
    <m/>
    <m/>
    <m/>
    <m/>
    <m/>
    <m/>
    <m/>
    <m/>
    <n v="263"/>
    <m/>
    <m/>
  </r>
  <r>
    <s v="UNIDAD ADMINISTRATIVA ESPECIAL MIGRACIÓN COLOMBIA"/>
    <s v="900477235-6"/>
    <s v="Secop II"/>
    <n v="198"/>
    <x v="0"/>
    <s v="20236231407000002E"/>
    <s v="MC-004-2023-80SYF"/>
    <x v="1"/>
    <x v="29"/>
    <s v="Mínima cuantía"/>
    <s v="Prestación de Servicios Profesionales "/>
    <x v="3"/>
    <s v="SERVICIO DE LIMPIEZA, MANTENIMIENTO Y VACIADO DE POZOS Y TANQUES DE ALMACENAMIENTO DE AGUAS RESIDUALES A NIVEL NACIONAL"/>
    <n v="40151510"/>
    <s v="Bombas de agua"/>
    <n v="40000000"/>
    <n v="40000000"/>
    <n v="21323"/>
    <s v="A-02-02-02-008-007"/>
    <s v="Celebrado"/>
    <s v="En ejecución"/>
    <m/>
    <s v="AO-006-2023"/>
    <s v="Abril"/>
    <d v="2023-04-11T00:00:00"/>
    <s v="Prestación de Servicios"/>
    <m/>
    <s v="Nivel Central"/>
    <s v="Bogotá D.C."/>
    <s v="INDULTEC SOLUCIONES INTEGRALES SAS"/>
    <n v="901520694"/>
    <n v="0"/>
    <s v="N/A"/>
    <s v="SI"/>
    <s v="Pequeña"/>
    <s v="Sociedad por acciones simplificadas"/>
    <s v="N/A"/>
    <s v="N/A"/>
    <n v="69023"/>
    <d v="2023-04-12T00:00:00"/>
    <n v="40000000"/>
    <m/>
    <m/>
    <m/>
    <n v="40000000"/>
    <s v="Si "/>
    <d v="2023-04-12T00:00:00"/>
    <s v="CUMPLIMIENTO, CALIDAD DEL SERVICIO, PAGO DE SALARIOS"/>
    <d v="2023-04-18T00:00:00"/>
    <d v="2023-12-31T00:00:00"/>
    <n v="257"/>
    <s v="JUAN CARLOS ACOSTA ALVAREZ"/>
    <n v="1070618478"/>
    <m/>
    <m/>
    <m/>
    <m/>
    <m/>
    <m/>
    <m/>
    <m/>
    <e v="#REF!"/>
    <m/>
    <m/>
    <m/>
    <m/>
    <m/>
    <m/>
    <m/>
    <m/>
    <m/>
    <n v="257"/>
    <m/>
    <m/>
  </r>
  <r>
    <s v="UNIDAD ADMINISTRATIVA ESPECIAL MIGRACIÓN COLOMBIA"/>
    <s v="900477235-6"/>
    <s v="Secop II"/>
    <n v="228"/>
    <x v="0"/>
    <s v="20236231415000010E"/>
    <s v="PCD-086-202-54TEC"/>
    <x v="1"/>
    <x v="29"/>
    <s v="Contratación Directa"/>
    <s v="Exclusividad"/>
    <x v="2"/>
    <s v="CONTRATAR LA EXTENSIÓN DE GARANTÍA INCLUIDO MANTENIMIENTOS PREVENTIVOS Y CORRECTIVOS CON REPUESTOS, PARA LA SOLUCIÓN DE PASILLOS MIGRATORIOS BIOMIG."/>
    <n v="30171510"/>
    <s v="Puertas automáticas"/>
    <n v="1814000000"/>
    <n v="1710773000"/>
    <n v="23023"/>
    <s v="C-1199-1002-10-0-1199001-02"/>
    <s v="Celebrado"/>
    <s v="En ejecución"/>
    <m/>
    <s v="CO-097-2023"/>
    <s v="Marzo"/>
    <d v="2023-03-23T00:00:00"/>
    <s v="Compraventa"/>
    <m/>
    <s v="Nivel Central"/>
    <s v="Bogotá D.C."/>
    <s v="INCOMELEC S.A.S EN REORGANIZACIÓN"/>
    <n v="900075980"/>
    <n v="1"/>
    <s v="N/A"/>
    <s v="SI"/>
    <s v="Mediana "/>
    <s v="Sociedad por acciones simplificadas"/>
    <s v="N/A"/>
    <s v="N/A"/>
    <n v="60023"/>
    <d v="2023-03-23T00:00:00"/>
    <n v="1710772983"/>
    <m/>
    <m/>
    <m/>
    <n v="1710772983"/>
    <s v="Si "/>
    <m/>
    <m/>
    <m/>
    <m/>
    <n v="0"/>
    <s v="DIEGO EMILIO OJEDA MONCAYO"/>
    <n v="19498970"/>
    <m/>
    <m/>
    <m/>
    <m/>
    <m/>
    <m/>
    <m/>
    <m/>
    <e v="#REF!"/>
    <m/>
    <m/>
    <m/>
    <m/>
    <m/>
    <m/>
    <m/>
    <m/>
    <m/>
    <n v="0"/>
    <m/>
    <s v="NO HAN ENVIADO PÓLIZAS"/>
  </r>
  <r>
    <s v="UNIDAD ADMINISTRATIVA ESPECIAL MIGRACIÓN COLOMBIA"/>
    <s v="900477235-6"/>
    <s v="Secop II"/>
    <n v="233"/>
    <x v="0"/>
    <s v="20236231407000005E"/>
    <s v="MC-001-2023-8CM"/>
    <x v="1"/>
    <x v="29"/>
    <s v="Mínima cuantía"/>
    <s v="Prestación de Servicios Profesionales "/>
    <x v="12"/>
    <s v="SERVICIO DE MANTENIMIENTO PREVENTIVO Y CORRECTIVO PARA LOS EQUIPOS DE GRAFOLOGÍA ESTÉREO MICROSCOPIOS A NIVEL NACIONAL, CON BOLSA DE REPUESTOS                                                                                                                              "/>
    <s v="46151708;46151712;72151704;81101706;81101713"/>
    <s v="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
    <n v="16414056.75"/>
    <n v="16414056.75"/>
    <n v="21523"/>
    <s v="C-1199-1002-10-0-1199001-02"/>
    <s v="Celebrado"/>
    <s v="En ejecución"/>
    <m/>
    <s v="AO-005-2023"/>
    <s v="Marzo"/>
    <d v="2023-03-30T00:00:00"/>
    <s v="Prestación de Servicios Profesionales "/>
    <m/>
    <s v="Nivel Central"/>
    <s v="Bogotá D.C."/>
    <s v="CI GLOBAL SCIENTIFIC S.A.S"/>
    <n v="830067880"/>
    <n v="4"/>
    <s v="N/A"/>
    <s v="SI"/>
    <s v="N/A"/>
    <s v="Sociedad por acciones simplificadas"/>
    <s v="N/A"/>
    <s v="N/A"/>
    <n v="68126"/>
    <d v="2023-04-11T00:00:00"/>
    <n v="16231600"/>
    <m/>
    <m/>
    <m/>
    <n v="16231600"/>
    <s v="Si "/>
    <d v="2023-04-10T00:00:00"/>
    <s v="CUMPLIMIENTO, CALIDAD DEL SERVICIO, PAGO DE SALARIOS"/>
    <d v="2023-04-11T00:00:00"/>
    <d v="2023-12-31T00:00:00"/>
    <n v="264"/>
    <s v="ROBINSON VALENCIA GIRALDO"/>
    <n v="75035031"/>
    <m/>
    <m/>
    <m/>
    <m/>
    <m/>
    <m/>
    <m/>
    <m/>
    <e v="#REF!"/>
    <m/>
    <m/>
    <m/>
    <m/>
    <m/>
    <m/>
    <m/>
    <m/>
    <m/>
    <n v="264"/>
    <m/>
    <m/>
  </r>
  <r>
    <s v="UNIDAD ADMINISTRATIVA ESPECIAL MIGRACIÓN COLOMBIA"/>
    <s v="900477235-6"/>
    <s v="Secop II"/>
    <n v="281"/>
    <x v="0"/>
    <s v="20236231415000011E"/>
    <s v="PCD-089-2023"/>
    <x v="1"/>
    <x v="29"/>
    <s v="Contratación Directa"/>
    <s v="Exclusividad"/>
    <x v="12"/>
    <s v="CONTRATAR EL SERVICIO DE MANTENIMIENTO PREVENTIVO DE LA MÁQUINA LÁSER TROTEC SP100R C30 Y DEL SUMINISTRO DEL SISTEMA DE EXTRACCIÓN 8260 ATMOS MONO Y SU RESPECTIVA BOLSA DE REPUESTOS."/>
    <n v="73152100"/>
    <s v="Servicios de mantenimiento y reparación de equipo de manufactura"/>
    <n v="16275000"/>
    <n v="16275000"/>
    <n v="13023"/>
    <s v="C-1199-1002-10-0-1199001-02"/>
    <s v="Celebrado"/>
    <s v="En ejecución"/>
    <m/>
    <s v="CO-105-2023"/>
    <s v="Marzo"/>
    <d v="2023-03-22T00:00:00"/>
    <s v="Prestación de Servicios Profesionales "/>
    <m/>
    <s v="Regional Andina"/>
    <s v="Bogotá D.C."/>
    <s v="EDALTEC S.A.S"/>
    <n v="900426006"/>
    <n v="8"/>
    <s v="N/A"/>
    <s v="NO"/>
    <s v="No es mypime"/>
    <s v="Sociedad por acciones simplificadas"/>
    <s v="N/A"/>
    <s v="N/A"/>
    <n v="59423"/>
    <d v="2023-03-23T00:00:00"/>
    <n v="16275000"/>
    <m/>
    <m/>
    <m/>
    <n v="16275000"/>
    <s v="Si "/>
    <d v="2023-03-23T00:00:00"/>
    <s v="CUMPLIMIENTO, CALIDAD DEL SERVICIO, PROVISIÓN DE REPUESTOS"/>
    <d v="2023-03-23T00:00:00"/>
    <d v="2023-12-31T00:00:00"/>
    <n v="283"/>
    <s v="ROBINSON VALENCIA GIRALDO"/>
    <n v="75035031"/>
    <m/>
    <m/>
    <m/>
    <m/>
    <m/>
    <m/>
    <m/>
    <m/>
    <e v="#REF!"/>
    <m/>
    <m/>
    <m/>
    <m/>
    <m/>
    <m/>
    <m/>
    <m/>
    <m/>
    <n v="283"/>
    <m/>
    <m/>
  </r>
  <r>
    <s v="UNIDAD ADMINISTRATIVA ESPECIAL MIGRACIÓN COLOMBIA"/>
    <s v="900477235-6"/>
    <s v="Secop II"/>
    <n v="278"/>
    <x v="4"/>
    <s v="20236231407000010E"/>
    <s v="MC-006-2023"/>
    <x v="2"/>
    <x v="30"/>
    <s v="minima cuantia "/>
    <s v="aseo y cafeteria region 11"/>
    <x v="23"/>
    <s v="Contratar el servicio integral de aseo y cafetería Región 11: Sede 1: _x000a_CFSM Calle 100 Regional Andina, Sede 2: PCM Aeropuerto Internacional _x000a_El Dorado, Sede 3: Sede Nivel central Edificio Argos, sede 4: CB Normandía de la UAEMC"/>
    <s v="76111501-90101700"/>
    <s v="servicios de aseo y limpieza- restaurantes y catering"/>
    <n v="52000000"/>
    <n v="52000000"/>
    <n v="24623"/>
    <s v="A-02-02-02-006-003"/>
    <s v="Celebrado"/>
    <s v="En ejecución"/>
    <m/>
    <s v="AO-002-2023"/>
    <s v="Marzo"/>
    <d v="2023-03-16T00:00:00"/>
    <s v="minima cuantia  "/>
    <m/>
    <s v="Nivel Central"/>
    <s v="Bogotá D.C."/>
    <s v="LIMPIEZA INSTITUCIONAL LASU S.A.S."/>
    <s v="900427788-3"/>
    <m/>
    <s v="N/A"/>
    <s v="NO"/>
    <m/>
    <m/>
    <m/>
    <e v="#REF!"/>
    <n v="57223"/>
    <d v="2023-03-17T00:00:00"/>
    <n v="52000000"/>
    <m/>
    <m/>
    <m/>
    <n v="52000000"/>
    <s v="SI"/>
    <d v="2023-03-15T00:00:00"/>
    <s v="2 CUMPLIMIENTO"/>
    <d v="2023-03-17T00:00:00"/>
    <d v="2023-04-17T00:00:00"/>
    <n v="30"/>
    <s v="Jesús Andrés Porras García "/>
    <n v="79994053"/>
    <m/>
    <m/>
    <m/>
    <m/>
    <m/>
    <m/>
    <m/>
    <m/>
    <n v="52000000"/>
    <m/>
    <m/>
    <m/>
    <m/>
    <m/>
    <m/>
    <m/>
    <m/>
    <m/>
    <n v="30"/>
    <m/>
    <m/>
  </r>
  <r>
    <s v="UNIDAD ADMINISTRATIVA ESPECIAL MIGRACIÓN COLOMBIA"/>
    <s v="900477235-6"/>
    <s v="Secop II"/>
    <n v="69"/>
    <x v="1"/>
    <s v="20236231408000005E"/>
    <s v="SIE-003-2023"/>
    <x v="2"/>
    <x v="31"/>
    <s v="Selección Abreviada"/>
    <s v="Subasta Inversa Electrónica"/>
    <x v="10"/>
    <s v="Contratar la prestación del servicio de mantenimiento preventivo y correctivo con bolsa de repuestos para los componentes de los CCTV, de acuerdo con los requerimientos técnicos de la Unidad Administrativa Especial Migración Colombia."/>
    <n v="43232800"/>
    <s v="Software de administración de redes"/>
    <n v="96500000"/>
    <n v="96489999"/>
    <n v="20523"/>
    <s v="C-1199-1002-10-0-1199001-02"/>
    <s v="En tramite "/>
    <m/>
    <m/>
    <m/>
    <m/>
    <m/>
    <m/>
    <m/>
    <m/>
    <m/>
    <m/>
    <m/>
    <m/>
    <m/>
    <m/>
    <m/>
    <m/>
    <m/>
    <n v="123"/>
    <m/>
    <m/>
    <m/>
    <m/>
    <m/>
    <m/>
    <m/>
    <m/>
    <m/>
    <m/>
    <m/>
    <m/>
    <n v="0"/>
    <m/>
    <m/>
    <m/>
    <m/>
    <m/>
    <m/>
    <m/>
    <m/>
    <m/>
    <m/>
    <m/>
    <m/>
    <m/>
    <m/>
    <m/>
    <m/>
    <m/>
    <m/>
    <m/>
    <m/>
    <m/>
    <m/>
    <m/>
  </r>
  <r>
    <s v="UNIDAD ADMINISTRATIVA ESPECIAL MIGRACIÓN COLOMBIA"/>
    <s v="900477235-6"/>
    <s v="Secop II"/>
    <n v="111"/>
    <x v="0"/>
    <s v="20233001413000013E"/>
    <s v="PCD-088-2023"/>
    <x v="2"/>
    <x v="32"/>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423"/>
    <s v="C-1199-1002-10-0-1199001-02"/>
    <s v="Celebrado"/>
    <s v="En ejecución"/>
    <m/>
    <s v="CO-086-2023"/>
    <s v="Marzo"/>
    <d v="2023-03-13T00:00:00"/>
    <s v="Prestación de Servicios Profesionales "/>
    <m/>
    <s v="Regional Oriente"/>
    <s v="Cúcuta"/>
    <s v="VIANEY RIVERA BOTELLO"/>
    <n v="1090393438"/>
    <s v="-"/>
    <s v="TÉCNICO EN SECRETARIADO Y CONTABILIDAD SISTEMATIZADA"/>
    <s v="NO"/>
    <s v="No es mypime"/>
    <s v="N/A"/>
    <d v="1988-03-23T00:00:00"/>
    <e v="#REF!"/>
    <n v="54623"/>
    <d v="2023-03-14T00:00:00"/>
    <n v="25000000"/>
    <m/>
    <m/>
    <m/>
    <n v="25000000"/>
    <s v="Si "/>
    <d v="2023-03-07T00:00:00"/>
    <s v="2 CUMPLIMIENTO"/>
    <d v="2023-03-15T00:00:00"/>
    <d v="2023-12-31T00:00:00"/>
    <n v="291"/>
    <s v="RAFAEL DARIO EUGENIO PARADA"/>
    <n v="88151663"/>
    <m/>
    <m/>
    <m/>
    <m/>
    <m/>
    <m/>
    <m/>
    <m/>
    <e v="#REF!"/>
    <m/>
    <m/>
    <m/>
    <m/>
    <m/>
    <m/>
    <m/>
    <m/>
    <m/>
    <n v="291"/>
    <m/>
    <m/>
  </r>
  <r>
    <s v="UNIDAD ADMINISTRATIVA ESPECIAL MIGRACIÓN COLOMBIA"/>
    <s v="900477235-6"/>
    <s v="Secop II"/>
    <n v="112"/>
    <x v="0"/>
    <s v="20233001413000014E"/>
    <s v="PCD-094-2023"/>
    <x v="2"/>
    <x v="32"/>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323"/>
    <s v="C-1199-1002-10-0-1199001-02"/>
    <s v="Celebrado"/>
    <s v="En ejecución"/>
    <m/>
    <s v="CO-087-2023"/>
    <s v="Marzo"/>
    <d v="2023-03-07T00:00:00"/>
    <s v="Prestación de Servicios Profesionales "/>
    <m/>
    <s v="Regional Oriente"/>
    <s v="Cúcuta"/>
    <s v="JESUS DAVID FUENTES CRISTANCHO"/>
    <n v="1090504369"/>
    <s v="-"/>
    <s v="TÉCNICO EN SEGURIDAD OCUPACIONAL"/>
    <s v="NO"/>
    <s v="No es mypime"/>
    <s v="N/A"/>
    <d v="1997-03-26T00:00:00"/>
    <e v="#REF!"/>
    <n v="48923"/>
    <d v="2023-03-08T00:00:00"/>
    <n v="25000000"/>
    <m/>
    <m/>
    <m/>
    <n v="25000000"/>
    <s v="Si "/>
    <d v="2023-03-08T00:00:00"/>
    <s v="2 CUMPLIMIENTO"/>
    <d v="2023-03-15T00:00:00"/>
    <d v="2023-12-31T00:00:00"/>
    <n v="291"/>
    <s v="RAFAEL DARIO EUGENIO PARADA"/>
    <n v="88151663"/>
    <m/>
    <m/>
    <m/>
    <m/>
    <m/>
    <m/>
    <m/>
    <m/>
    <e v="#REF!"/>
    <m/>
    <m/>
    <m/>
    <m/>
    <m/>
    <m/>
    <m/>
    <m/>
    <m/>
    <n v="291"/>
    <m/>
    <m/>
  </r>
  <r>
    <s v="UNIDAD ADMINISTRATIVA ESPECIAL MIGRACIÓN COLOMBIA"/>
    <s v="900477235-6"/>
    <s v="Secop II"/>
    <n v="113"/>
    <x v="0"/>
    <s v="20233001413000015E"/>
    <s v="PCD-085-2023"/>
    <x v="2"/>
    <x v="32"/>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223"/>
    <s v="C-1199-1002-10-0-1199001-02"/>
    <s v="Celebrado"/>
    <s v="En ejecución"/>
    <m/>
    <s v="CO-085-2023"/>
    <s v="Marzo"/>
    <d v="2023-03-08T00:00:00"/>
    <s v="Prestación de Servicios Profesionales "/>
    <m/>
    <s v="Regional Oriente"/>
    <s v="Cúcuta"/>
    <s v="LEIDY LEONOR PEREZ ROLON"/>
    <n v="1093766424"/>
    <s v="-"/>
    <s v="TÉCNICO EN RECURSOS HUMANOS"/>
    <s v="NO"/>
    <s v="No es mypime"/>
    <s v="N/A"/>
    <d v="1992-12-30T00:00:00"/>
    <e v="#REF!"/>
    <n v="53923"/>
    <d v="2023-03-13T00:00:00"/>
    <n v="25000000"/>
    <m/>
    <m/>
    <m/>
    <n v="25000000"/>
    <s v="Si "/>
    <d v="2023-03-03T00:00:00"/>
    <s v="2 CUMPLIMIENTO"/>
    <d v="2023-03-14T00:00:00"/>
    <d v="2023-12-31T00:00:00"/>
    <n v="292"/>
    <s v="RAFAEL DARIO EUGENIO PARADA"/>
    <n v="88151663"/>
    <m/>
    <m/>
    <m/>
    <m/>
    <m/>
    <m/>
    <m/>
    <m/>
    <e v="#REF!"/>
    <m/>
    <m/>
    <m/>
    <m/>
    <m/>
    <m/>
    <m/>
    <m/>
    <m/>
    <n v="292"/>
    <m/>
    <m/>
  </r>
  <r>
    <s v="UNIDAD ADMINISTRATIVA ESPECIAL MIGRACIÓN COLOMBIA"/>
    <s v="900477235-6"/>
    <s v="Secop II"/>
    <n v="104"/>
    <x v="3"/>
    <s v="20233001413000006E"/>
    <s v="PCD-095-2023-66TEC"/>
    <x v="2"/>
    <x v="33"/>
    <s v="Contratación Directa"/>
    <s v="Prestación de Servicios de Apoyo a la Gestión"/>
    <x v="12"/>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4123"/>
    <s v="C-1199-1002-10-0-1199001-02 "/>
    <s v="Celebrado"/>
    <s v="En ejecución"/>
    <s v="N/A"/>
    <s v="CO-092-2023"/>
    <s v="Marzo"/>
    <d v="2023-03-09T00:00:00"/>
    <s v="Prestación de Servicios de Apoyo a la Gestión"/>
    <m/>
    <s v="Oriente"/>
    <s v="Cúcuta - Norte de Santander"/>
    <s v="MADELEYNE TORO SANCHEZ"/>
    <n v="1093799482"/>
    <s v="N/A"/>
    <s v="Tec. Analisis y Des. De Sistemas de Inf."/>
    <m/>
    <m/>
    <m/>
    <d v="1999-05-16T00:00:00"/>
    <e v="#REF!"/>
    <n v="53823"/>
    <d v="2023-03-10T00:00:00"/>
    <n v="25000000"/>
    <m/>
    <m/>
    <m/>
    <n v="25000000"/>
    <s v="SI"/>
    <d v="2023-03-15T00:00:00"/>
    <s v="2 CUMPLIMIENTO"/>
    <d v="2023-03-16T00:00:00"/>
    <d v="2023-12-31T00:00:00"/>
    <n v="290"/>
    <s v="EUGENIO PARADA RAFAEL DARIO"/>
    <n v="88151663"/>
    <m/>
    <m/>
    <m/>
    <m/>
    <m/>
    <m/>
    <m/>
    <m/>
    <e v="#REF!"/>
    <m/>
    <m/>
    <m/>
    <m/>
    <m/>
    <m/>
    <m/>
    <m/>
    <m/>
    <n v="290"/>
    <m/>
    <m/>
  </r>
  <r>
    <s v="UNIDAD ADMINISTRATIVA ESPECIAL MIGRACIÓN COLOMBIA"/>
    <s v="900477235-6"/>
    <s v="Secop II"/>
    <n v="105"/>
    <x v="3"/>
    <s v="20233001413000007E"/>
    <s v="PCD-096-2023-67TEC"/>
    <x v="2"/>
    <x v="33"/>
    <s v="Contratación Directa"/>
    <s v="Prestación de Servicios de Apoyo a la Gestión"/>
    <x v="12"/>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4023"/>
    <s v="C-1199-1002-10-0-1199001-02"/>
    <s v="Celebrado"/>
    <s v="En ejecución"/>
    <s v="N/A"/>
    <s v="CO-093-2023"/>
    <s v="Marzo"/>
    <d v="2023-03-09T00:00:00"/>
    <s v="Prestación de Servicios de Apoyo a la Gestión"/>
    <m/>
    <s v="Oriente"/>
    <s v="Cúcuta - Norte de Santander"/>
    <s v="ALIRIO ARMANDO AREVALO MARTINEZ"/>
    <n v="1093767483"/>
    <s v="N/A"/>
    <s v="Tec. En Gestión Empresarial"/>
    <m/>
    <m/>
    <m/>
    <d v="1993-04-15T00:00:00"/>
    <e v="#REF!"/>
    <n v="53723"/>
    <d v="2023-03-10T00:00:00"/>
    <n v="25000000"/>
    <m/>
    <m/>
    <m/>
    <n v="25000000"/>
    <s v="SI"/>
    <d v="2023-03-09T00:00:00"/>
    <s v="2 CUMPLIMIENTO"/>
    <d v="2023-03-13T00:00:00"/>
    <d v="2023-12-31T00:00:00"/>
    <n v="293"/>
    <s v="EUGENIO PARADA RAFAEL DARIO"/>
    <n v="88151663"/>
    <m/>
    <m/>
    <m/>
    <m/>
    <m/>
    <m/>
    <m/>
    <m/>
    <e v="#REF!"/>
    <m/>
    <m/>
    <m/>
    <m/>
    <m/>
    <m/>
    <m/>
    <m/>
    <m/>
    <n v="293"/>
    <m/>
    <m/>
  </r>
  <r>
    <s v="UNIDAD ADMINISTRATIVA ESPECIAL MIGRACIÓN COLOMBIA"/>
    <s v="900477235-6"/>
    <s v="Secop II"/>
    <n v="106"/>
    <x v="3"/>
    <s v="20233001413000008E"/>
    <s v="PCD-097-2023-68TEC"/>
    <x v="2"/>
    <x v="33"/>
    <s v="Contratación Directa"/>
    <s v="Prestación de Servicios de Apoyo a la Gestión"/>
    <x v="12"/>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3923"/>
    <s v="C-1199-1002-10-0-1199001-02 "/>
    <s v="Celebrado"/>
    <s v="En ejecución"/>
    <s v="N/A"/>
    <s v="CO-094-2023"/>
    <s v="Marzo"/>
    <d v="2023-03-08T00:00:00"/>
    <s v="Prestación de Servicios de Apoyo a la Gestión"/>
    <m/>
    <s v="Oriente"/>
    <s v="Cúcuta - Norte de Santander"/>
    <s v="YASMIN ROCIO ESCANDON CRISTANCHO"/>
    <n v="1005000669"/>
    <s v="N/A"/>
    <s v="Tec. En Gestión Adm."/>
    <m/>
    <m/>
    <m/>
    <d v="2001-02-08T00:00:00"/>
    <e v="#REF!"/>
    <n v="52423"/>
    <d v="2023-03-09T00:00:00"/>
    <n v="25000000"/>
    <m/>
    <m/>
    <m/>
    <n v="25000000"/>
    <s v="SI"/>
    <d v="2023-03-15T00:00:00"/>
    <s v="2 CUMPLIMIENTO"/>
    <d v="2023-03-16T00:00:00"/>
    <d v="2023-12-31T00:00:00"/>
    <n v="290"/>
    <s v="EUGENIO PARADA RAFAEL DARIO"/>
    <n v="88151663"/>
    <m/>
    <m/>
    <m/>
    <m/>
    <m/>
    <m/>
    <m/>
    <m/>
    <e v="#REF!"/>
    <m/>
    <m/>
    <m/>
    <m/>
    <m/>
    <m/>
    <m/>
    <m/>
    <m/>
    <n v="290"/>
    <m/>
    <m/>
  </r>
  <r>
    <s v="UNIDAD ADMINISTRATIVA ESPECIAL MIGRACIÓN COLOMBIA"/>
    <s v="900477235-6"/>
    <s v="Secop II"/>
    <n v="107"/>
    <x v="3"/>
    <s v="20233001413000009E"/>
    <s v="PCD-098-2023-69TEC"/>
    <x v="2"/>
    <x v="33"/>
    <s v="Contratación Directa"/>
    <s v="Prestación de Servicios de Apoyo a la Gestión"/>
    <x v="12"/>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3823"/>
    <s v="C-1199-1002-10-0-1199001-02 "/>
    <s v="Celebrado"/>
    <s v="En ejecución"/>
    <s v="N/A"/>
    <s v="CO-095-2023"/>
    <s v="Marzo"/>
    <d v="2023-03-09T00:00:00"/>
    <s v="Prestación de Servicios de Apoyo a la Gestión"/>
    <m/>
    <s v="Oriente"/>
    <s v="Cúcuta - Norte de Santander"/>
    <s v="SAMAEL NESIM TAVERA RUEDA"/>
    <n v="1090431962"/>
    <s v="N/A"/>
    <s v="Tec. Analisis y Des. De Sistemas de Inf."/>
    <m/>
    <m/>
    <m/>
    <d v="1991-03-23T00:00:00"/>
    <e v="#REF!"/>
    <n v="54823"/>
    <d v="2023-03-14T00:00:00"/>
    <n v="25000000"/>
    <m/>
    <m/>
    <m/>
    <n v="25000000"/>
    <s v="SI"/>
    <d v="2023-03-13T00:00:00"/>
    <s v="2 CUMPLIMIENTO"/>
    <d v="2023-03-16T00:00:00"/>
    <d v="2023-12-31T00:00:00"/>
    <n v="290"/>
    <s v="EUGENIO PARADA RAFAEL DARIO"/>
    <n v="88151663"/>
    <m/>
    <m/>
    <m/>
    <m/>
    <m/>
    <m/>
    <m/>
    <m/>
    <e v="#REF!"/>
    <m/>
    <m/>
    <m/>
    <m/>
    <m/>
    <m/>
    <m/>
    <m/>
    <m/>
    <n v="290"/>
    <m/>
    <m/>
  </r>
  <r>
    <s v="UNIDAD ADMINISTRATIVA ESPECIAL MIGRACIÓN COLOMBIA"/>
    <s v="900477235-6"/>
    <s v="Secop II"/>
    <n v="102"/>
    <x v="4"/>
    <s v="20233001413000004E"/>
    <s v="PCD-093-2023-64TEC"/>
    <x v="2"/>
    <x v="33"/>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4223"/>
    <s v="C-1199-1002-10-0-1199001-02"/>
    <s v="Celebrado"/>
    <s v="En ejecución"/>
    <m/>
    <s v="CO-080-2023"/>
    <s v="Marzo"/>
    <d v="2023-03-08T00:00:00"/>
    <s v="Prestación de Servicios apoyo a la gestion"/>
    <m/>
    <s v="Regional Oriente"/>
    <s v="Cucuta"/>
    <s v="DIANA CAROLINA ORTIZ BELTRAN"/>
    <n v="1090401426"/>
    <m/>
    <s v="N/A"/>
    <s v="NO"/>
    <m/>
    <m/>
    <m/>
    <e v="#REF!"/>
    <n v="46523"/>
    <d v="2023-03-07T00:00:00"/>
    <n v="25000000"/>
    <m/>
    <m/>
    <m/>
    <n v="25000000"/>
    <s v="SI"/>
    <d v="2023-03-08T00:00:00"/>
    <s v="2 CUMPLIMIENTO"/>
    <d v="2023-03-16T00:00:00"/>
    <d v="2023-12-31T00:00:00"/>
    <n v="290"/>
    <s v="RAFAEL DARIO EUGENIO PARADA"/>
    <n v="88151663"/>
    <m/>
    <m/>
    <m/>
    <m/>
    <m/>
    <m/>
    <m/>
    <m/>
    <n v="25000000"/>
    <m/>
    <m/>
    <m/>
    <m/>
    <m/>
    <m/>
    <m/>
    <m/>
    <m/>
    <n v="290"/>
    <m/>
    <m/>
  </r>
  <r>
    <s v="UNIDAD ADMINISTRATIVA ESPECIAL MIGRACIÓN COLOMBIA"/>
    <s v="900477235-6"/>
    <s v="Secop II"/>
    <n v="103"/>
    <x v="4"/>
    <s v="20233001413000005E"/>
    <s v="PCD-092-2023-65TEC"/>
    <x v="2"/>
    <x v="34"/>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4323"/>
    <s v="C-1199-1002-10-0-1199001-02"/>
    <s v="Celebrado"/>
    <s v="En ejecución"/>
    <m/>
    <s v="CO-079-2023"/>
    <s v="Marzo"/>
    <d v="2023-03-09T00:00:00"/>
    <s v="Prestación de Servicios apoyo a la gestion"/>
    <m/>
    <s v="Regional Oriente"/>
    <s v="Cucuta"/>
    <s v="FRANCISCO JAVIER CASTELLANOS CARDENAS"/>
    <n v="1092349877"/>
    <m/>
    <s v="N/A"/>
    <s v="NO"/>
    <m/>
    <m/>
    <m/>
    <e v="#REF!"/>
    <n v="46923"/>
    <d v="2023-03-08T00:00:00"/>
    <n v="25000000"/>
    <m/>
    <m/>
    <m/>
    <n v="25000000"/>
    <s v="SI"/>
    <d v="2023-03-10T00:00:00"/>
    <s v="2 CUMPLIMIENTO"/>
    <d v="2023-03-16T00:00:00"/>
    <d v="2023-12-31T00:00:00"/>
    <n v="290"/>
    <s v="RAFAEL DARIO EUGENIO PARADA"/>
    <n v="88151663"/>
    <m/>
    <m/>
    <m/>
    <m/>
    <m/>
    <m/>
    <m/>
    <m/>
    <n v="25000000"/>
    <m/>
    <m/>
    <m/>
    <m/>
    <m/>
    <m/>
    <m/>
    <m/>
    <m/>
    <n v="290"/>
    <m/>
    <m/>
  </r>
  <r>
    <s v="UNIDAD ADMINISTRATIVA ESPECIAL MIGRACIÓN COLOMBIA"/>
    <s v="900477235-6"/>
    <s v="Secop II"/>
    <n v="108"/>
    <x v="4"/>
    <s v="20233001413000010E"/>
    <s v="PCD-099-2023-70TEC"/>
    <x v="2"/>
    <x v="34"/>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723"/>
    <s v="C-1199-1002-10-0-1199001-02"/>
    <s v="Celebrado"/>
    <s v="En ejecución"/>
    <m/>
    <s v="CO-088-2023"/>
    <s v="Marzo"/>
    <d v="2023-03-10T00:00:00"/>
    <s v="Prestación de Servicios apoyo a la gestion"/>
    <m/>
    <s v="Regional Oriente"/>
    <s v="Cucuta"/>
    <s v="JESUS DAVID GUERRERO CONTRERAS"/>
    <n v="1093914971"/>
    <m/>
    <s v="N/A"/>
    <s v="NO"/>
    <m/>
    <m/>
    <m/>
    <e v="#REF!"/>
    <n v="47023"/>
    <d v="2023-03-08T00:00:00"/>
    <n v="25000000"/>
    <m/>
    <m/>
    <m/>
    <n v="25000000"/>
    <s v="SI"/>
    <d v="2023-03-14T00:00:00"/>
    <s v="2 CUMPLIMIENTO"/>
    <d v="2023-03-16T00:00:00"/>
    <d v="2023-12-31T00:00:00"/>
    <n v="290"/>
    <s v="RAFAEL DARIO EUGENIO PARADA"/>
    <n v="88151663"/>
    <m/>
    <m/>
    <m/>
    <m/>
    <m/>
    <m/>
    <m/>
    <m/>
    <n v="25000000"/>
    <m/>
    <m/>
    <m/>
    <m/>
    <m/>
    <m/>
    <m/>
    <m/>
    <m/>
    <n v="290"/>
    <m/>
    <m/>
  </r>
  <r>
    <s v="UNIDAD ADMINISTRATIVA ESPECIAL MIGRACIÓN COLOMBIA"/>
    <s v="900477235-6"/>
    <s v="Secop II"/>
    <n v="110"/>
    <x v="4"/>
    <s v="20233001413000012E"/>
    <s v="PCD-101-2023-72TEC"/>
    <x v="2"/>
    <x v="34"/>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523"/>
    <s v="C-1199-1002-10-0-1199001-02"/>
    <s v="Celebrado"/>
    <s v="En ejecución"/>
    <m/>
    <s v="CO-090-2023"/>
    <s v="Marzo"/>
    <d v="2023-03-09T00:00:00"/>
    <s v="Prestación de Servicios apoyo a la gestion"/>
    <m/>
    <s v="Regional Oriente"/>
    <s v="Cucuta"/>
    <s v="JAVIER HERNANDO CASTELLANOS CONTRERAS"/>
    <n v="1090481286"/>
    <m/>
    <s v="N/A"/>
    <s v="NO"/>
    <m/>
    <m/>
    <m/>
    <e v="#REF!"/>
    <n v="47223"/>
    <d v="2023-03-08T00:00:00"/>
    <n v="25000000"/>
    <m/>
    <m/>
    <m/>
    <n v="25000000"/>
    <s v="SI"/>
    <d v="2023-03-09T00:00:00"/>
    <s v="2 CUMPLIMIENTO"/>
    <d v="2023-03-15T00:00:00"/>
    <d v="2023-12-31T00:00:00"/>
    <n v="291"/>
    <s v="RAFAEL DARIO EUGENIO PARADA"/>
    <n v="88151663"/>
    <m/>
    <m/>
    <m/>
    <m/>
    <m/>
    <m/>
    <m/>
    <m/>
    <n v="25000000"/>
    <m/>
    <m/>
    <m/>
    <m/>
    <m/>
    <m/>
    <m/>
    <m/>
    <m/>
    <n v="291"/>
    <m/>
    <m/>
  </r>
  <r>
    <s v="UNIDAD ADMINISTRATIVA ESPECIAL MIGRACIÓN COLOMBIA"/>
    <s v="900477235-6"/>
    <s v="Secop II"/>
    <n v="153"/>
    <x v="2"/>
    <s v="20236231414000004E"/>
    <s v="PCD-103-2023-35SYF"/>
    <x v="2"/>
    <x v="34"/>
    <s v="Contratación Directa"/>
    <s v="Arrendamiento"/>
    <x v="3"/>
    <s v="CONTRATAR EL ARRENDAMIENTO DE CUPOS DE PARQUEADERO PARA EL PARQUE AUTOMOTOR DE LA REGIONAL EJE CAFETERO UBICADA EN LA CIUDAD DE PEREIRA"/>
    <n v="80131502"/>
    <s v="Arrendamiento de Instalaciones comerciales o industriales"/>
    <n v="25139583.5"/>
    <n v="25139583.5"/>
    <n v="25923"/>
    <s v="A-02-02-02-007-002"/>
    <s v="Celebrado"/>
    <s v="En ejecución"/>
    <m/>
    <s v="CO-100-2023"/>
    <s v="Marzo"/>
    <d v="2023-03-16T00:00:00"/>
    <s v="Arrendamiento"/>
    <m/>
    <s v="EJE CAFETERO"/>
    <s v="PEREIRA "/>
    <s v="UNIÒN TEMPORAL CITY PARKING BROKERS /: JUAN CARLOS SALAZAR SANTOS"/>
    <n v="901317464"/>
    <n v="4"/>
    <s v="N/A"/>
    <s v="NO"/>
    <m/>
    <m/>
    <s v="N/A"/>
    <s v="N/A"/>
    <n v="57023"/>
    <d v="2023-03-16T00:00:00"/>
    <n v="25139583.5"/>
    <m/>
    <m/>
    <m/>
    <n v="25139583.5"/>
    <s v="NO"/>
    <s v="N/A"/>
    <s v="N/A"/>
    <d v="2023-03-14T00:00:00"/>
    <d v="2023-12-31T00:00:00"/>
    <n v="292"/>
    <s v="ELISABETH USECHE"/>
    <n v="25166983"/>
    <m/>
    <m/>
    <m/>
    <m/>
    <m/>
    <m/>
    <m/>
    <m/>
    <n v="25139583.5"/>
    <m/>
    <m/>
    <m/>
    <m/>
    <m/>
    <m/>
    <m/>
    <m/>
    <m/>
    <n v="292"/>
    <m/>
    <m/>
  </r>
  <r>
    <s v="UNIDAD ADMINISTRATIVA ESPECIAL MIGRACIÓN COLOMBIA"/>
    <s v="900477235-6"/>
    <s v="Secop II"/>
    <n v="109"/>
    <x v="4"/>
    <s v="20233001413000011E"/>
    <s v="PCD-100-2023-71TEC"/>
    <x v="2"/>
    <x v="35"/>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623"/>
    <s v="C-1199-1002-10-0-1199001-02"/>
    <s v="Celebrado"/>
    <s v="En ejecución"/>
    <m/>
    <s v="CO-089-2023"/>
    <s v="Marzo"/>
    <d v="2023-03-09T00:00:00"/>
    <s v="Prestación de Servicios apoyo a la gestion"/>
    <m/>
    <s v="Regional Oriente"/>
    <s v="Cucuta"/>
    <s v="MARIA CAMILA BLANCO AYALA"/>
    <n v="1090512871"/>
    <m/>
    <s v="N/A"/>
    <s v="NO"/>
    <m/>
    <m/>
    <m/>
    <e v="#REF!"/>
    <n v="47123"/>
    <d v="2023-03-08T00:00:00"/>
    <n v="25000000"/>
    <m/>
    <m/>
    <m/>
    <n v="25000000"/>
    <s v="SI"/>
    <d v="2023-03-10T00:00:00"/>
    <s v="2 CUMPLIMIENTO"/>
    <d v="2023-03-16T00:00:00"/>
    <d v="2023-12-31T00:00:00"/>
    <n v="290"/>
    <s v="RAFAEL DARIO EUGENIO PARADA"/>
    <n v="88151663"/>
    <m/>
    <m/>
    <m/>
    <m/>
    <m/>
    <m/>
    <m/>
    <m/>
    <n v="25000000"/>
    <m/>
    <m/>
    <m/>
    <m/>
    <m/>
    <m/>
    <m/>
    <m/>
    <m/>
    <n v="290"/>
    <m/>
    <m/>
  </r>
  <r>
    <s v="UNIDAD ADMINISTRATIVA ESPECIAL MIGRACIÓN COLOMBIA"/>
    <s v="900477235-6"/>
    <s v="Secop II"/>
    <n v="120"/>
    <x v="1"/>
    <s v="20236231408000013E"/>
    <s v="SIE-005-2023"/>
    <x v="2"/>
    <x v="36"/>
    <s v="Selección Abreviada"/>
    <s v="Subasta Inversa Electrónica"/>
    <x v="18"/>
    <s v="Contratar el suministro de materiales ferroeléctricos para atender los requerimientos que en material de mantenimiento locativo presente las sedes de Migración Colombia a nivel nacional."/>
    <n v="40141700"/>
    <s v="Material de Ferretería y accesorios"/>
    <n v="220000000"/>
    <n v="220000000"/>
    <n v="23722"/>
    <s v="A-02-02-01-001-005"/>
    <s v="En tramite "/>
    <m/>
    <m/>
    <m/>
    <m/>
    <m/>
    <m/>
    <m/>
    <m/>
    <m/>
    <m/>
    <m/>
    <m/>
    <m/>
    <m/>
    <m/>
    <m/>
    <m/>
    <n v="123"/>
    <m/>
    <m/>
    <m/>
    <m/>
    <m/>
    <m/>
    <m/>
    <m/>
    <m/>
    <m/>
    <m/>
    <m/>
    <n v="0"/>
    <m/>
    <m/>
    <m/>
    <m/>
    <m/>
    <m/>
    <m/>
    <m/>
    <m/>
    <m/>
    <m/>
    <m/>
    <m/>
    <m/>
    <m/>
    <m/>
    <m/>
    <m/>
    <m/>
    <m/>
    <m/>
    <m/>
    <m/>
  </r>
  <r>
    <s v="UNIDAD ADMINISTRATIVA ESPECIAL MIGRACIÓN COLOMBIA"/>
    <s v="900477235-6"/>
    <s v="Secop II"/>
    <n v="152"/>
    <x v="3"/>
    <s v="20236231414000003E"/>
    <s v="PCD-104-2023-34SYF"/>
    <x v="2"/>
    <x v="36"/>
    <s v="Contratación Directa"/>
    <s v="Arrendamiento"/>
    <x v="18"/>
    <s v="Contratar el arrendamiento de un bien inmueble ubicado en urbanización mistares del Municipio de Cumbal, corregimiento de Chiles - Nariño con destino al funcionamiento del PCMT Chiles - Tufiño de Migración Colombia.  "/>
    <n v="80131502"/>
    <s v="Arrendamiento de Instalaciones comerciales o Industriales"/>
    <n v="16410000"/>
    <n v="14250000"/>
    <n v="25823"/>
    <s v="A-02-02-02-007-002 "/>
    <s v="Celebrado"/>
    <s v="En ejecución"/>
    <s v="N/A"/>
    <s v="CO-099-2023"/>
    <s v="Marzo"/>
    <d v="2023-03-16T00:00:00"/>
    <s v="Contrato de Arrendamiento"/>
    <m/>
    <s v="Nariño"/>
    <s v="Corregimiento de Chiles – Municipio de Cumbal "/>
    <s v="PARMÉNIDES IBARRA CÓRDOBA"/>
    <n v="98324134"/>
    <s v="N/A"/>
    <s v="N/A"/>
    <m/>
    <m/>
    <m/>
    <s v="N/A"/>
    <e v="#REF!"/>
    <n v="56923"/>
    <d v="2023-03-16T00:00:00"/>
    <n v="14250000"/>
    <m/>
    <m/>
    <m/>
    <n v="14250000"/>
    <s v="NO"/>
    <s v="N/A"/>
    <s v="N/A"/>
    <d v="2023-03-16T00:00:00"/>
    <d v="2023-12-31T00:00:00"/>
    <n v="290"/>
    <s v=" FIGUEROA RAMIREZ ANA MERCEDES"/>
    <n v="30738603"/>
    <m/>
    <m/>
    <m/>
    <m/>
    <m/>
    <m/>
    <m/>
    <m/>
    <e v="#REF!"/>
    <m/>
    <m/>
    <m/>
    <m/>
    <m/>
    <m/>
    <m/>
    <m/>
    <m/>
    <n v="290"/>
    <m/>
    <m/>
  </r>
  <r>
    <s v="UNIDAD ADMINISTRATIVA ESPECIAL MIGRACIÓN COLOMBIA"/>
    <s v="900477235-6"/>
    <s v="Secop II"/>
    <n v="99"/>
    <x v="4"/>
    <s v="20233001413000017E"/>
    <s v="PCD-087-2023-61TEC"/>
    <x v="2"/>
    <x v="36"/>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223"/>
    <s v="C-1199-1002-10-0-1199001-02"/>
    <s v="Celebrado"/>
    <s v="En ejecución"/>
    <m/>
    <s v="CO-076-2023"/>
    <s v="Marzo"/>
    <d v="2023-03-13T00:00:00"/>
    <s v="Prestación de Servicios Profesionales"/>
    <m/>
    <s v="Regional Oriente"/>
    <s v="Cucuta"/>
    <s v="ANDRÉS FELIPE REMOLINA OROSTEGUI"/>
    <n v="1101694114"/>
    <m/>
    <s v="N/A"/>
    <s v="NO"/>
    <m/>
    <m/>
    <m/>
    <e v="#REF!"/>
    <n v="52323"/>
    <d v="2023-03-09T00:00:00"/>
    <n v="30000000"/>
    <m/>
    <m/>
    <m/>
    <n v="30000000"/>
    <s v="SI"/>
    <d v="2023-03-13T00:00:00"/>
    <s v="2 CUMPLIMIENTO"/>
    <d v="2023-03-15T00:00:00"/>
    <d v="2023-12-31T00:00:00"/>
    <n v="291"/>
    <s v="RAFAEL DARIO EUGENIO PARADA"/>
    <n v="88151663"/>
    <m/>
    <m/>
    <m/>
    <m/>
    <m/>
    <m/>
    <m/>
    <m/>
    <n v="30000000"/>
    <m/>
    <m/>
    <m/>
    <m/>
    <m/>
    <m/>
    <m/>
    <m/>
    <m/>
    <n v="291"/>
    <m/>
    <m/>
  </r>
  <r>
    <s v="UNIDAD ADMINISTRATIVA ESPECIAL MIGRACIÓN COLOMBIA"/>
    <s v="900477235-6"/>
    <s v="Secop II"/>
    <n v="100"/>
    <x v="4"/>
    <s v="20233001413000018E"/>
    <s v="PCD-090-2023-62TEC"/>
    <x v="2"/>
    <x v="36"/>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023"/>
    <s v="C-1199-1002-10-0-1199001-02"/>
    <s v="Celebrado"/>
    <s v="En ejecución"/>
    <m/>
    <s v="CO-077-2023"/>
    <s v="Marzo"/>
    <d v="2023-03-13T00:00:00"/>
    <s v="Prestación de Servicios Profesionales"/>
    <m/>
    <s v="Regional Oriente"/>
    <s v="Cucuta"/>
    <s v="VIVIANA PAOLA SÁNCHEZ CAMARGO"/>
    <n v="1090416279"/>
    <m/>
    <s v="N/A"/>
    <s v="NO"/>
    <m/>
    <m/>
    <m/>
    <e v="#REF!"/>
    <n v="52523"/>
    <d v="2023-03-09T00:00:00"/>
    <n v="30000000"/>
    <m/>
    <m/>
    <m/>
    <n v="30000000"/>
    <s v="SI"/>
    <d v="2023-03-14T00:00:00"/>
    <s v="2 CUMPLIMIENTO"/>
    <d v="2023-03-16T00:00:00"/>
    <d v="2023-12-31T00:00:00"/>
    <n v="290"/>
    <s v="RAFAEL DARIO EUGENIO PARADA"/>
    <n v="88151663"/>
    <m/>
    <m/>
    <m/>
    <m/>
    <m/>
    <m/>
    <m/>
    <m/>
    <n v="30000000"/>
    <m/>
    <m/>
    <m/>
    <m/>
    <m/>
    <m/>
    <m/>
    <m/>
    <m/>
    <n v="290"/>
    <m/>
    <m/>
  </r>
  <r>
    <s v="UNIDAD ADMINISTRATIVA ESPECIAL MIGRACIÓN COLOMBIA"/>
    <s v="900477235-6"/>
    <s v="Secop II"/>
    <n v="101"/>
    <x v="4"/>
    <s v="20233001413000019E"/>
    <s v="PCD-091-2023-63TEC"/>
    <x v="2"/>
    <x v="36"/>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123"/>
    <s v="C-1199-1002-10-0-1199001-02"/>
    <s v="Celebrado"/>
    <s v="cancelado"/>
    <m/>
    <s v="N/A"/>
    <s v="Marzo"/>
    <s v="N/A"/>
    <s v="Prestación de Servicios Profesionales"/>
    <m/>
    <s v="Regional Oriente"/>
    <s v="Cucuta"/>
    <s v="SHARON LIZBEHT ANAYA BAUTISTA"/>
    <n v="1090504513"/>
    <m/>
    <s v="N/A"/>
    <s v="NO"/>
    <m/>
    <m/>
    <m/>
    <e v="#REF!"/>
    <n v="52623"/>
    <d v="2023-03-09T00:00:00"/>
    <n v="30000000"/>
    <m/>
    <m/>
    <m/>
    <n v="30000000"/>
    <s v="SI"/>
    <s v="N/A"/>
    <s v="N/A"/>
    <s v="N/A"/>
    <s v="N/A"/>
    <s v="N/A"/>
    <s v="RAFAEL DARIO EUGENIO PARADA"/>
    <n v="88151663"/>
    <m/>
    <m/>
    <m/>
    <m/>
    <m/>
    <m/>
    <m/>
    <m/>
    <n v="30000000"/>
    <m/>
    <m/>
    <m/>
    <m/>
    <m/>
    <m/>
    <m/>
    <m/>
    <m/>
    <s v="N/A"/>
    <m/>
    <m/>
  </r>
  <r>
    <s v="UNIDAD ADMINISTRATIVA ESPECIAL MIGRACIÓN COLOMBIA"/>
    <s v="900477235-6"/>
    <s v="Secop II"/>
    <n v="118"/>
    <x v="0"/>
    <s v="20236121415000001E"/>
    <s v="PCD-105-2023"/>
    <x v="2"/>
    <x v="37"/>
    <s v="Contratación Directa"/>
    <s v="Prestación de Servicios Profesionales "/>
    <x v="24"/>
    <s v="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
    <s v="80161504 - 80161500"/>
    <s v="Servicios de oficina - Servicios de apoyo gerencial"/>
    <n v="24000000"/>
    <n v="24000000"/>
    <n v="26723"/>
    <s v="A-02-02-02-008-003"/>
    <s v="Celebrado"/>
    <s v="En ejecución"/>
    <m/>
    <s v="CO-096-2023"/>
    <s v="Marzo"/>
    <d v="2023-03-14T00:00:00"/>
    <s v="Prestación de Servicios Profesionales "/>
    <m/>
    <s v="Nivel Central"/>
    <s v="Bogotá D.C."/>
    <s v="AZUCENA PINZON RODRIGUEZ"/>
    <n v="51727720"/>
    <s v="-"/>
    <s v="BACHILLER ACADÉMICO"/>
    <s v="NO"/>
    <s v="No es mypime"/>
    <s v="N/A"/>
    <d v="1964-08-04T00:00:00"/>
    <e v="#REF!"/>
    <n v="56723"/>
    <d v="2023-03-16T00:00:00"/>
    <n v="24000000"/>
    <m/>
    <m/>
    <m/>
    <n v="24000000"/>
    <s v="Si "/>
    <d v="2023-03-16T00:00:00"/>
    <s v="2 CUMPLIMIENTO"/>
    <d v="2023-03-17T00:00:00"/>
    <d v="2023-10-17T00:00:00"/>
    <n v="214"/>
    <s v="ROSA MARÍA MARTÍNEZ GONZÁLEZ"/>
    <n v="51832657"/>
    <m/>
    <m/>
    <m/>
    <m/>
    <m/>
    <m/>
    <m/>
    <m/>
    <e v="#REF!"/>
    <m/>
    <m/>
    <m/>
    <m/>
    <m/>
    <m/>
    <m/>
    <m/>
    <m/>
    <n v="214"/>
    <m/>
    <m/>
  </r>
  <r>
    <s v="UNIDAD ADMINISTRATIVA ESPECIAL MIGRACIÓN COLOMBIA"/>
    <s v="900477235-6"/>
    <s v="Secop II"/>
    <n v="191"/>
    <x v="0"/>
    <s v="20236231408000010E"/>
    <s v="SIE-006-2023-73SYF"/>
    <x v="2"/>
    <x v="37"/>
    <s v="Subasta Inversa"/>
    <s v="Prestación de Servicios Profesionales "/>
    <x v="3"/>
    <s v="SERVICIO DE IMPRESIÓN, FOTOCOPIADO Y ESCÁNER DE DOCUMENTOS, MEDIANTE EL SISTEMA DE LA FIGURA DE OUTSOURCING, DE ACUERDO CON EL CUADRO DE CANTIDADES DE LAS ESPECIFICACIONES TÉCNICAS EN LAS SEDES PREVISTAS EN LA UNIDAD ADMINISTRATIVA ESPECIAL DE MIGRACIÓN COLOMBIA"/>
    <s v="82121500;82121503;82121701;82121702;80161801 "/>
    <s v="Impresión - Impresión digital - Servicios de copias en blanco y negro o de cotejo - Servicios de copias a color o de cotejo - Servicio de alquiler o leasing de fotocopiadoras"/>
    <n v="70000000"/>
    <n v="70000000"/>
    <n v="20723"/>
    <s v="A-02-02-02-008-009"/>
    <s v="En trámite"/>
    <s v="N/A"/>
    <m/>
    <m/>
    <m/>
    <m/>
    <m/>
    <m/>
    <m/>
    <m/>
    <m/>
    <m/>
    <m/>
    <m/>
    <m/>
    <m/>
    <m/>
    <m/>
    <e v="#REF!"/>
    <m/>
    <m/>
    <m/>
    <m/>
    <m/>
    <m/>
    <m/>
    <m/>
    <m/>
    <m/>
    <m/>
    <m/>
    <n v="0"/>
    <m/>
    <m/>
    <m/>
    <m/>
    <m/>
    <m/>
    <m/>
    <m/>
    <m/>
    <m/>
    <m/>
    <m/>
    <m/>
    <m/>
    <m/>
    <m/>
    <m/>
    <m/>
    <m/>
    <m/>
    <n v="0"/>
    <m/>
    <m/>
  </r>
  <r>
    <s v="UNIDAD ADMINISTRATIVA ESPECIAL MIGRACIÓN COLOMBIA"/>
    <s v="900477235-6"/>
    <s v="TVEC"/>
    <n v="139"/>
    <x v="2"/>
    <s v="20236211410000005E"/>
    <n v="146163"/>
    <x v="2"/>
    <x v="37"/>
    <s v="minima cuantia"/>
    <s v="orden de compra "/>
    <x v="23"/>
    <s v="R13 CONTRATAR EL SERVICIO INTEGRAL DE ASEO Y CAFETERIA PARA LAS SEDES DE: SEDE 1: CFSM LETICIA, SEDE 2: PCMA AEROPUERTO INTERNACIONAL ALFREDO VASQUEZ COBO, SEDE 3: PCM BALSA MIGRATORIA LETICIA, REGION 13 DE LA UNIDAD ADMINISTRATIVA ESPECIAL MIGRACIÓN COLOMBIA."/>
    <n v="76111501"/>
    <s v="Servicios de limpieza y mantenimiento de edificios generales y de oficinas "/>
    <n v="78950587"/>
    <n v="78950587"/>
    <n v="28623"/>
    <s v="A-02-02-02-006-003"/>
    <s v="Celebrado"/>
    <s v="En ejecución"/>
    <m/>
    <s v="107284"/>
    <s v="ABRIL "/>
    <d v="2023-04-03T00:00:00"/>
    <s v="Prestación de Servicios de apoyo a la Gestion "/>
    <m/>
    <s v="amazonas"/>
    <m/>
    <s v="CONSERJES INMOBILIARIOS"/>
    <n v="800093388"/>
    <n v="2"/>
    <s v="N/A"/>
    <m/>
    <m/>
    <m/>
    <s v="N/A"/>
    <s v="N/A"/>
    <n v="66323"/>
    <d v="2023-04-05T00:00:00"/>
    <n v="78950587.099999994"/>
    <m/>
    <m/>
    <m/>
    <n v="78950587.099999994"/>
    <s v="SI"/>
    <d v="2023-04-05T00:00:00"/>
    <s v="2 CUMPLIMIENTO"/>
    <d v="2023-04-03T00:00:00"/>
    <d v="2023-12-31T00:00:00"/>
    <n v="272"/>
    <s v="DIANA VICENTA CAMARGO"/>
    <n v="41057375"/>
    <m/>
    <m/>
    <m/>
    <m/>
    <m/>
    <m/>
    <m/>
    <m/>
    <n v="78950587.099999994"/>
    <m/>
    <m/>
    <m/>
    <m/>
    <m/>
    <m/>
    <m/>
    <m/>
    <m/>
    <n v="272"/>
    <m/>
    <m/>
  </r>
  <r>
    <s v="UNIDAD ADMINISTRATIVA ESPECIAL MIGRACIÓN COLOMBIA"/>
    <s v="900477235-6"/>
    <s v="TVEC"/>
    <n v="131"/>
    <x v="2"/>
    <s v="20236211410000003E"/>
    <n v="146169"/>
    <x v="2"/>
    <x v="37"/>
    <s v="minima cuantia"/>
    <s v="orden de compra "/>
    <x v="23"/>
    <s v="R10 CONTRATAR EL SERVICIO INTEGRAL DE ASEO Y CAFETERÍA PARA LA SEDE DE VILLAVICENCIO REGIÓN 10 DE LA UNIDAD ADMINISTRATIVA ESPECIAL MIGRACIÓN COLOMBIA"/>
    <n v="76111501"/>
    <s v="Servicios de limpieza y mantenimiento de edificios generales y de oficinas "/>
    <n v="24527659"/>
    <n v="24527659"/>
    <n v="28623"/>
    <s v="A-02-02-02-006-003"/>
    <s v="Celebrado"/>
    <s v="En ejecución"/>
    <m/>
    <s v="107282"/>
    <s v="ABRIL "/>
    <d v="2023-04-03T00:00:00"/>
    <s v="Prestación de Servicios de apoyo a la Gestion "/>
    <m/>
    <s v="villavicencio"/>
    <m/>
    <s v="UNION TEMPORAL SERTOP "/>
    <n v="901677370"/>
    <n v="4"/>
    <s v="N/A"/>
    <m/>
    <m/>
    <m/>
    <s v="N/A"/>
    <s v="N/A"/>
    <n v="66623"/>
    <d v="2023-04-05T00:00:00"/>
    <n v="23525852.359999999"/>
    <m/>
    <m/>
    <m/>
    <n v="23525852.359999999"/>
    <s v="SI"/>
    <d v="2023-04-14T00:00:00"/>
    <s v="2 CUMPLIMIENTO"/>
    <d v="2023-04-03T00:00:00"/>
    <d v="2023-12-31T00:00:00"/>
    <n v="272"/>
    <s v="MIGUEL ANGEL LUNA  CASTRO"/>
    <n v="17586972"/>
    <m/>
    <m/>
    <m/>
    <m/>
    <m/>
    <m/>
    <m/>
    <m/>
    <n v="23525852.359999999"/>
    <m/>
    <m/>
    <m/>
    <m/>
    <m/>
    <m/>
    <m/>
    <m/>
    <m/>
    <n v="272"/>
    <m/>
    <m/>
  </r>
  <r>
    <s v="UNIDAD ADMINISTRATIVA ESPECIAL MIGRACIÓN COLOMBIA"/>
    <s v="900477235-6"/>
    <s v="TVEC"/>
    <n v="133"/>
    <x v="2"/>
    <s v=" 20236211410000001E"/>
    <n v="146124"/>
    <x v="2"/>
    <x v="37"/>
    <s v="minima cuantia"/>
    <s v="orden de compra "/>
    <x v="23"/>
    <s v="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
    <n v="76111501"/>
    <s v="Servicios de limpieza y mantenimiento de edificios generales y de oficinas "/>
    <n v="152449229"/>
    <n v="152449229"/>
    <n v="28623"/>
    <s v="A-02-02-02-006-003"/>
    <s v="Celebrado"/>
    <s v="En ejecución"/>
    <m/>
    <s v="107281"/>
    <s v="ABRIL "/>
    <d v="2023-04-03T00:00:00"/>
    <s v="Prestación de Servicios de apoyo a la Gestion "/>
    <m/>
    <s v="Regional Antioquia"/>
    <s v="Medellin"/>
    <s v="UNION TEMPORAL SERTOP "/>
    <n v="901677370"/>
    <n v="4"/>
    <s v="N/A"/>
    <m/>
    <m/>
    <m/>
    <s v="N/A"/>
    <s v="N/A"/>
    <n v="66523"/>
    <d v="2023-04-03T00:00:00"/>
    <n v="144975089.46000001"/>
    <m/>
    <m/>
    <m/>
    <n v="144975089.46000001"/>
    <s v="SI"/>
    <d v="2023-04-10T00:00:00"/>
    <s v="2 CUMPLIMIENTO"/>
    <d v="2023-04-03T00:00:00"/>
    <d v="2023-12-31T00:00:00"/>
    <n v="272"/>
    <s v="TANIA DE CARMEN MORALES"/>
    <n v="67026330"/>
    <m/>
    <m/>
    <m/>
    <m/>
    <m/>
    <m/>
    <m/>
    <m/>
    <n v="144975089.46000001"/>
    <m/>
    <m/>
    <m/>
    <m/>
    <m/>
    <m/>
    <m/>
    <m/>
    <m/>
    <n v="272"/>
    <m/>
    <m/>
  </r>
  <r>
    <s v="UNIDAD ADMINISTRATIVA ESPECIAL MIGRACIÓN COLOMBIA"/>
    <s v="900477235-6"/>
    <s v="TVEC"/>
    <n v="132"/>
    <x v="2"/>
    <s v="20236211410000002E"/>
    <n v="146167"/>
    <x v="2"/>
    <x v="37"/>
    <s v="minima cuantia"/>
    <s v="orden de compra "/>
    <x v="23"/>
    <s v="R4 CONTRATAR EL SERVICIO INTEGRAL DE ASEO Y CAFETERIA PARA LA SEDE DE ARMENIA, PEREIRA, EL EDÉN (LA TEBAIDA) Y MANIZALES. REGION 4 DE LA UNIDAD ADMINISTRATIVA ESPECIAL MIGRACIÓN COLOMBIA"/>
    <n v="76111501"/>
    <s v="Servicios de limpieza y mantenimiento de edificios generales y de oficinas "/>
    <n v="90896788"/>
    <n v="90896788"/>
    <n v="28623"/>
    <s v="A-02-02-02-006-003"/>
    <s v="Celebrado"/>
    <s v="En ejecución"/>
    <m/>
    <n v="108075"/>
    <s v="ABRIL "/>
    <d v="2023-04-20T00:00:00"/>
    <s v="Prestación de Servicios de apoyo a la Gestion "/>
    <m/>
    <s v="Regional Eje Cafetero"/>
    <s v="Armenia"/>
    <s v="UNION TEMPORAL SERTOP "/>
    <n v="901677370"/>
    <m/>
    <s v="N/A"/>
    <m/>
    <m/>
    <m/>
    <s v="N/A"/>
    <s v="N/A"/>
    <n v="75023"/>
    <d v="2023-04-21T00:00:00"/>
    <n v="87025363.060000002"/>
    <m/>
    <m/>
    <m/>
    <n v="87025363.060000002"/>
    <s v="SI"/>
    <s v="PENDIENTE"/>
    <s v="2 CUMPLIMIENTO"/>
    <d v="2023-04-20T00:00:00"/>
    <d v="2023-12-31T00:00:00"/>
    <n v="255"/>
    <s v="ELISABETH USECHE MARIN"/>
    <n v="25166983"/>
    <m/>
    <m/>
    <m/>
    <m/>
    <m/>
    <m/>
    <m/>
    <m/>
    <n v="87025363.060000002"/>
    <m/>
    <m/>
    <m/>
    <m/>
    <m/>
    <m/>
    <m/>
    <m/>
    <m/>
    <n v="255"/>
    <m/>
    <m/>
  </r>
  <r>
    <s v="UNIDAD ADMINISTRATIVA ESPECIAL MIGRACIÓN COLOMBIA"/>
    <s v="900477235-6"/>
    <s v="TVEC"/>
    <n v="131"/>
    <x v="2"/>
    <s v="20236211410000003E"/>
    <n v="146169"/>
    <x v="2"/>
    <x v="37"/>
    <s v="minima cuantia"/>
    <s v="orden de compra "/>
    <x v="3"/>
    <s v="CONTRATAR EL SERVICIO INTEGRAL DE ASEO Y CAFETERÍA PARA LA SEDE DE VILLAVICENCIO REGIÓN 10 DE LA UNIDAD ADMINISTRATIVA ESPECIAL MIGRACIÓN COLOMBIA"/>
    <n v="76111501"/>
    <s v="Servicios de limpieza y mantenimiento de edificios generales y de oficinas "/>
    <n v="24527659"/>
    <n v="24527659"/>
    <n v="28623"/>
    <s v="A-02-02-02-006-003"/>
    <s v="En tramite "/>
    <m/>
    <m/>
    <m/>
    <m/>
    <m/>
    <m/>
    <m/>
    <m/>
    <m/>
    <m/>
    <m/>
    <m/>
    <m/>
    <m/>
    <m/>
    <m/>
    <m/>
    <m/>
    <m/>
    <m/>
    <m/>
    <m/>
    <m/>
    <m/>
    <m/>
    <m/>
    <m/>
    <m/>
    <m/>
    <m/>
    <m/>
    <m/>
    <m/>
    <m/>
    <m/>
    <m/>
    <m/>
    <m/>
    <m/>
    <m/>
    <m/>
    <n v="0"/>
    <m/>
    <m/>
    <m/>
    <m/>
    <m/>
    <m/>
    <m/>
    <m/>
    <m/>
    <m/>
    <m/>
    <m/>
  </r>
  <r>
    <s v="UNIDAD ADMINISTRATIVA ESPECIAL MIGRACIÓN COLOMBIA"/>
    <s v="900477235-6"/>
    <s v="TVEC"/>
    <n v="141"/>
    <x v="2"/>
    <s v="20236211410000006E"/>
    <n v="146165"/>
    <x v="2"/>
    <x v="37"/>
    <s v="minima cuantia"/>
    <s v="orden de compra "/>
    <x v="23"/>
    <s v="R15 CONTRATAR EL SERVICIO INTEGRAL DE ASEO Y CAFETERIA PARA LAS SEDES DE: SEDE 1: CFSM ARAUCA, SEDE 2: PCM PUENTE INTERNACIONAL JOSÉ ANTONIO PÁEZ, REGION 15 DE LA UNIDAD ADMINISTRATIVA ESPECIAL MIGRACIÓN COLOMBIA."/>
    <n v="76111501"/>
    <s v="Servicios de limpieza y mantenimiento de edificios generales y de oficinas "/>
    <n v="67610538"/>
    <n v="67610538"/>
    <n v="28623"/>
    <s v="A-02-02-02-006-003"/>
    <s v="Celebrado"/>
    <s v="En ejecución"/>
    <m/>
    <n v="107283"/>
    <s v="ABRIL "/>
    <d v="2023-04-03T00:00:00"/>
    <s v="Prestación de Servicios de apoyo a la Gestion "/>
    <m/>
    <s v="Arauca"/>
    <m/>
    <s v="CONSERJES INMOBILIARIOS"/>
    <n v="800093388"/>
    <n v="2"/>
    <s v="N/A"/>
    <m/>
    <m/>
    <m/>
    <s v="N/A"/>
    <s v="N/A"/>
    <n v="66423"/>
    <d v="2023-04-05T00:00:00"/>
    <n v="67610537.629999995"/>
    <m/>
    <m/>
    <m/>
    <n v="67610537.629999995"/>
    <s v="SI"/>
    <d v="2023-04-04T00:00:00"/>
    <s v="2 CUMPLIMIENTO"/>
    <d v="2023-04-03T00:00:00"/>
    <d v="2023-12-31T00:00:00"/>
    <n v="272"/>
    <s v="RAFAEL RICARDO ZUÑIGA"/>
    <n v="80037461"/>
    <m/>
    <m/>
    <m/>
    <m/>
    <m/>
    <m/>
    <m/>
    <m/>
    <n v="67610537.629999995"/>
    <m/>
    <m/>
    <m/>
    <m/>
    <m/>
    <m/>
    <m/>
    <m/>
    <m/>
    <n v="272"/>
    <m/>
    <m/>
  </r>
  <r>
    <s v="UNIDAD ADMINISTRATIVA ESPECIAL MIGRACIÓN COLOMBIA"/>
    <s v="900477235-6"/>
    <s v="TVEC"/>
    <n v="139"/>
    <x v="2"/>
    <s v="20236211410000005E"/>
    <n v="146163"/>
    <x v="3"/>
    <x v="38"/>
    <s v="minima cuantia"/>
    <s v="orden de compra "/>
    <x v="23"/>
    <s v="R13 CONTRATAR EL SERVICIO INTEGRAL DE ASEO Y CAFETERIA PARA LAS SEDES DE: SEDE 1: CFSM LETICIA, SEDE 2: PCMA AEROPUERTO INTERNACIONAL ALFREDO VASQUEZ COBO, SEDE 3: PCM BALSA MIGRATORIA LETICIA, REGION 13 DE LA UNIDAD ADMINISTRATIVA ESPECIAL MIGRACIÓN COLOMBIA."/>
    <n v="76111501"/>
    <s v="Servicios de limpieza y mantenimiento de edificios generales y de oficinas "/>
    <n v="78950587"/>
    <n v="78950587"/>
    <n v="28623"/>
    <s v="A-02-02-02-006-003"/>
    <s v="Celebrado"/>
    <s v="En ejecución"/>
    <m/>
    <s v="107284"/>
    <s v="ABRIL "/>
    <d v="2023-04-03T00:00:00"/>
    <s v="Prestación de Servicios de apoyo a la Gestion "/>
    <m/>
    <s v="amazonas"/>
    <m/>
    <s v="CONSERJES INMOBILIARIOS"/>
    <n v="800093388"/>
    <n v="2"/>
    <s v="N/A"/>
    <m/>
    <m/>
    <m/>
    <s v="N/A"/>
    <s v="N/A"/>
    <n v="66323"/>
    <d v="2023-04-05T00:00:00"/>
    <n v="78950587.099999994"/>
    <m/>
    <m/>
    <m/>
    <n v="78950587.099999994"/>
    <s v="SI"/>
    <d v="2023-04-05T00:00:00"/>
    <s v="2 CUMPLIMIENTO"/>
    <d v="2023-04-03T00:00:00"/>
    <d v="2023-12-31T00:00:00"/>
    <n v="272"/>
    <s v="DIANA VICENTA CAMARGO"/>
    <n v="41057375"/>
    <m/>
    <m/>
    <m/>
    <m/>
    <m/>
    <m/>
    <m/>
    <m/>
    <n v="78950587.099999994"/>
    <m/>
    <m/>
    <m/>
    <m/>
    <m/>
    <m/>
    <m/>
    <m/>
    <m/>
    <n v="272"/>
    <m/>
    <m/>
  </r>
  <r>
    <s v="UNIDAD ADMINISTRATIVA ESPECIAL MIGRACIÓN COLOMBIA"/>
    <s v="900477235-6"/>
    <s v="Secop II"/>
    <n v="282"/>
    <x v="1"/>
    <s v="20232401413000006E"/>
    <s v="PCD-107-2023"/>
    <x v="2"/>
    <x v="39"/>
    <s v="Contratación Directa"/>
    <s v="Prestación de Servicios Profesionales "/>
    <x v="14"/>
    <s v="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
    <n v="80161504"/>
    <s v="Servicios de Gestión, Servicios Profesionales de Empresa, y Servicios Administrativos"/>
    <n v="42750000"/>
    <n v="42750000"/>
    <n v="28123"/>
    <s v="C-1199-1002-10-0-1199001-02"/>
    <s v="Celebrado"/>
    <s v="En ejecución"/>
    <m/>
    <s v="CO-103-2023"/>
    <s v="Marzo"/>
    <d v="2056-05-23T00:00:00"/>
    <s v="Prestación de Servicios Profesionales"/>
    <m/>
    <s v="Nivel Central"/>
    <s v="Bogotá D.C."/>
    <s v="DAVID LEONARDO ROMERO GARZÓN"/>
    <n v="1023910419"/>
    <m/>
    <s v="COMUNICACIÓN SOCIAL"/>
    <m/>
    <m/>
    <m/>
    <m/>
    <n v="123"/>
    <n v="57123"/>
    <d v="2023-03-17T00:00:00"/>
    <n v="42750000"/>
    <m/>
    <m/>
    <m/>
    <n v="42750000"/>
    <s v="Si "/>
    <d v="2023-03-16T00:00:00"/>
    <s v="2 CUMPLIMIENTO"/>
    <d v="2023-03-17T00:00:00"/>
    <d v="2023-12-31T00:00:00"/>
    <n v="289"/>
    <s v="MARITZA ROCÍO SERRANO VILLAMIL"/>
    <n v="393757630"/>
    <m/>
    <m/>
    <m/>
    <m/>
    <m/>
    <m/>
    <m/>
    <m/>
    <m/>
    <m/>
    <m/>
    <m/>
    <m/>
    <m/>
    <m/>
    <m/>
    <m/>
    <m/>
    <m/>
    <m/>
    <m/>
  </r>
  <r>
    <s v="UNIDAD ADMINISTRATIVA ESPECIAL MIGRACIÓN COLOMBIA"/>
    <s v="900477235-6"/>
    <s v="Secop II"/>
    <n v="273"/>
    <x v="1"/>
    <s v="20236231415000003E"/>
    <s v="PCD-106-2023"/>
    <x v="2"/>
    <x v="39"/>
    <s v="Contratación Directa"/>
    <s v="Exclusividad"/>
    <x v="18"/>
    <e v="#REF!"/>
    <e v="#REF!"/>
    <e v="#REF!"/>
    <e v="#REF!"/>
    <e v="#REF!"/>
    <e v="#REF!"/>
    <e v="#REF!"/>
    <e v="#REF!"/>
    <e v="#REF!"/>
    <e v="#REF!"/>
    <e v="#REF!"/>
    <e v="#REF!"/>
    <e v="#REF!"/>
    <e v="#REF!"/>
    <e v="#REF!"/>
    <e v="#REF!"/>
    <e v="#REF!"/>
    <e v="#REF!"/>
    <e v="#REF!"/>
    <e v="#REF!"/>
    <e v="#REF!"/>
    <e v="#REF!"/>
    <e v="#REF!"/>
    <m/>
    <m/>
    <n v="123"/>
    <m/>
    <m/>
    <m/>
    <m/>
    <m/>
    <m/>
    <m/>
    <m/>
    <m/>
    <m/>
    <m/>
    <m/>
    <m/>
    <m/>
    <m/>
    <m/>
    <m/>
    <m/>
    <m/>
    <m/>
    <m/>
    <m/>
    <m/>
    <m/>
    <m/>
    <m/>
    <m/>
    <m/>
    <m/>
    <m/>
    <m/>
    <m/>
    <m/>
    <m/>
    <m/>
    <m/>
  </r>
  <r>
    <s v="UNIDAD ADMINISTRATIVA ESPECIAL MIGRACIÓN COLOMBIA"/>
    <s v="900477235-6"/>
    <s v="TVEC"/>
    <n v="138"/>
    <x v="2"/>
    <s v="20236211410000008E"/>
    <n v="146268"/>
    <x v="3"/>
    <x v="40"/>
    <s v="minima cuantia"/>
    <s v="orden de compra "/>
    <x v="23"/>
    <s v="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n v="76111501"/>
    <s v="Servicios de limpieza y mantenimiento de edificios generales y de oficinas "/>
    <n v="95973449"/>
    <n v="95973449"/>
    <n v="28623"/>
    <s v="A-02-02-02-006-003"/>
    <s v="Celebrado"/>
    <s v="En ejecución"/>
    <m/>
    <s v="107605"/>
    <s v="ABRIL "/>
    <d v="2023-04-12T00:00:00"/>
    <s v="Prestación de Servicios de apoyo a la Gestion "/>
    <m/>
    <s v="San Andres y Providencia"/>
    <m/>
    <s v="LIMPIEZA INSTITUCIONAL LASU "/>
    <n v="900427788"/>
    <n v="3"/>
    <s v="N/A"/>
    <m/>
    <m/>
    <m/>
    <s v="N/A"/>
    <s v="N/A"/>
    <n v="70323"/>
    <d v="2023-04-13T00:00:00"/>
    <n v="95973448.730000004"/>
    <m/>
    <m/>
    <m/>
    <n v="95973448.730000004"/>
    <s v="SI"/>
    <d v="2023-04-21T00:00:00"/>
    <s v="2 CUMPLIMIENTO"/>
    <d v="2023-04-12T00:00:00"/>
    <d v="2023-12-31T00:00:00"/>
    <n v="263"/>
    <s v="ARLET PATRICIA VILLADIEGO"/>
    <n v="1123626271"/>
    <m/>
    <m/>
    <m/>
    <m/>
    <m/>
    <m/>
    <m/>
    <m/>
    <n v="95973448.730000004"/>
    <m/>
    <m/>
    <m/>
    <m/>
    <m/>
    <m/>
    <m/>
    <m/>
    <m/>
    <n v="263"/>
    <m/>
    <m/>
  </r>
  <r>
    <s v="UNIDAD ADMINISTRATIVA ESPECIAL MIGRACIÓN COLOMBIA"/>
    <s v="900477235-6"/>
    <s v="TVEC"/>
    <n v="138"/>
    <x v="2"/>
    <s v="20236211410000008E"/>
    <n v="146268"/>
    <x v="2"/>
    <x v="39"/>
    <s v="minima cuantia"/>
    <s v="orden de compra "/>
    <x v="3"/>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n v="76111501"/>
    <s v="Servicios de limpieza y mantenimiento de edificios generales y de oficinas "/>
    <n v="95973449"/>
    <n v="95973449"/>
    <n v="28623"/>
    <s v="A-02-02-02-006-003"/>
    <s v="En tramite "/>
    <m/>
    <m/>
    <m/>
    <m/>
    <m/>
    <m/>
    <m/>
    <m/>
    <m/>
    <m/>
    <m/>
    <m/>
    <m/>
    <m/>
    <m/>
    <m/>
    <m/>
    <m/>
    <m/>
    <m/>
    <m/>
    <m/>
    <m/>
    <m/>
    <m/>
    <m/>
    <m/>
    <m/>
    <m/>
    <m/>
    <m/>
    <m/>
    <m/>
    <m/>
    <m/>
    <m/>
    <m/>
    <m/>
    <m/>
    <m/>
    <m/>
    <n v="0"/>
    <m/>
    <m/>
    <m/>
    <m/>
    <m/>
    <m/>
    <m/>
    <m/>
    <m/>
    <m/>
    <m/>
    <m/>
  </r>
  <r>
    <s v="UNIDAD ADMINISTRATIVA ESPECIAL MIGRACIÓN COLOMBIA"/>
    <s v="900477235-6"/>
    <s v="TVEC"/>
    <n v="136"/>
    <x v="2"/>
    <s v="20236211410000007E"/>
    <n v="146540"/>
    <x v="2"/>
    <x v="41"/>
    <s v="minima cuantia"/>
    <s v="orden de compra "/>
    <x v="23"/>
    <s v="R1 CONTRATAR EL SERVICIO INTEGRAL DE ASEO Y CAFETERIA PARA LAS SEDES DE: SANTA MARTA, RIOHACHA, MAICAO, VALLEDUPAR, Y PCM PARAGUACHON (MAICAO) REGION 1 DE LA UNIDAD ADMINISTRATIVA ESPECIAL MIGRACIÓN COLOMBIA"/>
    <n v="76111501"/>
    <s v="Servicios de limpieza y mantenimiento de edificios generales y de oficinas "/>
    <n v="175550532"/>
    <n v="175550532"/>
    <n v="28623"/>
    <s v="A-02-02-02-006-003"/>
    <s v="Celebrado"/>
    <s v="En ejecución"/>
    <m/>
    <n v="108010"/>
    <s v="ABRIL "/>
    <d v="2023-04-19T00:00:00"/>
    <s v="Prestación de Servicios de apoyo a la Gestion "/>
    <m/>
    <s v="Regional Atlantico"/>
    <s v="Santa Martha"/>
    <s v="UT OUTSOURCING GIAF"/>
    <n v="901677020"/>
    <n v="1"/>
    <s v="N/A"/>
    <m/>
    <m/>
    <m/>
    <s v="N/A"/>
    <s v="N/A"/>
    <n v="73323"/>
    <d v="2023-04-19T00:00:00"/>
    <n v="169259167.88999999"/>
    <m/>
    <m/>
    <m/>
    <n v="169259167.88999999"/>
    <s v="SI"/>
    <s v="21/04/202"/>
    <s v="2 CUMPLIMIENTO"/>
    <d v="2023-04-19T00:00:00"/>
    <d v="2023-12-31T00:00:00"/>
    <n v="256"/>
    <s v="HILAIS MILAGRO ARREDONDO"/>
    <n v="1124064259"/>
    <m/>
    <m/>
    <m/>
    <m/>
    <m/>
    <m/>
    <m/>
    <m/>
    <n v="169259167.88999999"/>
    <m/>
    <m/>
    <m/>
    <m/>
    <m/>
    <m/>
    <m/>
    <m/>
    <m/>
    <n v="256"/>
    <m/>
    <m/>
  </r>
  <r>
    <s v="UNIDAD ADMINISTRATIVA ESPECIAL MIGRACIÓN COLOMBIA"/>
    <s v="900477235-6"/>
    <s v="TVEC"/>
    <n v="143"/>
    <x v="2"/>
    <s v="20236211410000011E"/>
    <n v="146573"/>
    <x v="2"/>
    <x v="41"/>
    <s v="minima cuantia"/>
    <s v="orden de compra "/>
    <x v="23"/>
    <s v="R18 CONTRATAR EL SERVICIO INTEGRAL DE ASEO Y CAFETERIA PARA LA SEDE 1: PCM PUERTO INÍRIDA, REGION 18 DE LA UNIDAD ADMINISTRATIVA ESPECIAL MIGRACIÓN COLOMBIA"/>
    <n v="76111501"/>
    <s v="Servicios de limpieza y mantenimiento de edificios generales y de oficinas "/>
    <n v="15332899"/>
    <n v="15332899"/>
    <n v="28623"/>
    <s v="A-02-02-02-006-003"/>
    <s v="Celebrado"/>
    <s v="En ejecución"/>
    <m/>
    <s v="107466"/>
    <s v="ABRIL "/>
    <d v="2023-04-11T00:00:00"/>
    <s v="Prestación de Servicios de apoyo a la Gestion "/>
    <m/>
    <s v="pto inirida"/>
    <m/>
    <s v="LIMPIEZA INSTITUCIONAL LASU "/>
    <n v="900427788"/>
    <n v="3"/>
    <s v="N/A"/>
    <m/>
    <m/>
    <m/>
    <s v="N/A"/>
    <s v="N/A"/>
    <n v="68723"/>
    <d v="2023-04-11T00:00:00"/>
    <n v="15332898.6"/>
    <m/>
    <m/>
    <m/>
    <n v="15332898.6"/>
    <s v="SI"/>
    <d v="2023-04-19T00:00:00"/>
    <s v="2 CUMPLIMIENTO"/>
    <d v="2023-04-11T00:00:00"/>
    <d v="2023-12-31T00:00:00"/>
    <n v="264"/>
    <s v="PAMELA ANDREA GUANARE "/>
    <n v="1006453902"/>
    <m/>
    <m/>
    <m/>
    <m/>
    <m/>
    <m/>
    <m/>
    <m/>
    <n v="15332898.6"/>
    <m/>
    <m/>
    <m/>
    <m/>
    <m/>
    <m/>
    <m/>
    <m/>
    <m/>
    <n v="264"/>
    <m/>
    <m/>
  </r>
  <r>
    <s v="UNIDAD ADMINISTRATIVA ESPECIAL MIGRACIÓN COLOMBIA"/>
    <s v="900477235-6"/>
    <s v="Secop II"/>
    <n v="117"/>
    <x v="4"/>
    <s v="20236001413000005E"/>
    <s v="PCD-109-2023-3SG"/>
    <x v="2"/>
    <x v="42"/>
    <s v="Contratación Directa"/>
    <s v="Prestación de Servicios Profesionales "/>
    <x v="5"/>
    <s v="Prestación de servicios profesionales especializados _x000a_con autonomía técnica y administrativa, para el apoyo a la gestión de la Secretaría General en el seguimiento administrativo y financiero de la contratación, en especial lo relacionado con el proyecto de tecnología."/>
    <n v="80161504"/>
    <s v="Servicios de gestión y servicios profesionales de empresa, y Servicios administrativos"/>
    <n v="95000000"/>
    <n v="95000000"/>
    <n v="27923"/>
    <s v="C-1199-1002-10-0-1199001-02"/>
    <s v="Celebrado"/>
    <s v="En ejecución"/>
    <m/>
    <s v="CO-101-2023"/>
    <s v="Marzo"/>
    <d v="2023-03-17T00:00:00"/>
    <s v="Prestación de Servicios Profesionales"/>
    <m/>
    <s v="Nivel Central"/>
    <s v="Bogotá D.C."/>
    <s v="CARLOS VLADIMIR COBO RAMIREZ"/>
    <n v="19411933"/>
    <m/>
    <s v="N/A"/>
    <s v="NO"/>
    <m/>
    <m/>
    <m/>
    <e v="#REF!"/>
    <n v="57523"/>
    <d v="2023-03-17T00:00:00"/>
    <n v="95000000"/>
    <m/>
    <m/>
    <m/>
    <n v="95000000"/>
    <s v="SI"/>
    <d v="2023-03-17T00:00:00"/>
    <s v="2 CUMPLIMIENTO"/>
    <d v="2023-03-21T00:00:00"/>
    <d v="2023-12-31T00:00:00"/>
    <n v="285"/>
    <s v="RIGOBERTO NIÑO CORREDOR"/>
    <n v="79321317"/>
    <m/>
    <m/>
    <m/>
    <m/>
    <m/>
    <m/>
    <m/>
    <m/>
    <n v="95000000"/>
    <m/>
    <m/>
    <m/>
    <m/>
    <m/>
    <m/>
    <m/>
    <m/>
    <m/>
    <n v="285"/>
    <m/>
    <m/>
  </r>
  <r>
    <s v="UNIDAD ADMINISTRATIVA ESPECIAL MIGRACIÓN COLOMBIA"/>
    <s v="900477235-6"/>
    <s v="Secop II"/>
    <n v="145"/>
    <x v="3"/>
    <s v="20236231416000004E"/>
    <s v="PCD-108-2023-27SYF"/>
    <x v="2"/>
    <x v="43"/>
    <s v="Contratación Directa"/>
    <s v="Interadministrativo – Prestación de Servicios"/>
    <x v="7"/>
    <s v="Contratar la prestación de servicio de recolección, curso y entrega de correo en sus diferentes modalidades a nivel nacional e internacional y el suministro de personal para la gestión documental."/>
    <n v="78102203"/>
    <s v="Servicios postales de paqueteo y Courier."/>
    <n v="351000000"/>
    <n v="351000000"/>
    <n v="27823"/>
    <s v="A-02-02-02-006-008 "/>
    <s v="Celebrado"/>
    <s v="En ejecución"/>
    <s v="N/A"/>
    <s v="CO-107-2023"/>
    <s v="Marzo"/>
    <d v="2023-03-31T00:00:00"/>
    <s v="INTERADMINISTRATIVO"/>
    <m/>
    <s v="Nivel Central "/>
    <s v="Bogotá D.C."/>
    <s v="SERVICIOS POSTALES NACIONALES S.A.S"/>
    <n v="900062917"/>
    <n v="9"/>
    <s v="N/A"/>
    <m/>
    <s v="Grande"/>
    <m/>
    <s v="N/A"/>
    <e v="#REF!"/>
    <n v="64723"/>
    <d v="2023-04-03T00:00:00"/>
    <n v="351000000"/>
    <m/>
    <m/>
    <m/>
    <n v="351000000"/>
    <s v="NO"/>
    <s v="N/A"/>
    <s v="N/A"/>
    <d v="2023-04-03T00:00:00"/>
    <d v="2023-12-31T00:00:00"/>
    <n v="272"/>
    <s v="SERRANO BORNACELLY ILVIS PATRICIA"/>
    <n v="36551065"/>
    <m/>
    <m/>
    <m/>
    <m/>
    <m/>
    <m/>
    <m/>
    <m/>
    <e v="#REF!"/>
    <m/>
    <m/>
    <m/>
    <m/>
    <m/>
    <m/>
    <m/>
    <m/>
    <m/>
    <n v="272"/>
    <m/>
    <m/>
  </r>
  <r>
    <s v="UNIDAD ADMINISTRATIVA ESPECIAL MIGRACIÓN COLOMBIA"/>
    <s v="900477235-6"/>
    <s v="Secop II"/>
    <n v="61"/>
    <x v="4"/>
    <s v="20232501413000024E"/>
    <s v="PCD-110-2023-17TEC"/>
    <x v="2"/>
    <x v="43"/>
    <s v="Contratación Directa"/>
    <s v="Prestación de Servicios Profesionales "/>
    <x v="10"/>
    <s v="CONTRATAR LA PRESTACIÓN DE LOS SERVICIOS PROFESIONALES PARA APOYAR LA GESTIÓN _x000a_DE LA OFICINA DE TECNOLOGÍA DE LA INFORMACIÓN DE _x000a_MIGRACIÓN COLOMBIA, EN LAS ACTIVIDADES PROPIAS DEL DESARROLLO DE APLICACIONES EN LENGUAJE .NET"/>
    <s v="801116-811115-811120"/>
    <s v="Servicios de gestion  Servicios Profesionales de Empresa y Servicios Administrativos - Servicios basados en Ingeniería Investigación y Tecnología -Servicios basados en Ingeniería Investigación y Tecnología"/>
    <n v="76000000"/>
    <n v="76000000"/>
    <n v="27623"/>
    <s v="C-1199-1002-10-0-1199001-02"/>
    <s v="Celebrado"/>
    <s v="En ejecución"/>
    <m/>
    <s v="CO-102-2023"/>
    <s v="Marzo"/>
    <d v="2023-03-22T00:00:00"/>
    <s v="Prestación de Servicios Profesionales"/>
    <m/>
    <s v="Nivel Central"/>
    <s v="Bogotá D.C."/>
    <s v="WILMAR ALDEMAR CABEZAS PISCO"/>
    <n v="86062223"/>
    <m/>
    <s v="N/A"/>
    <s v="NO"/>
    <m/>
    <m/>
    <m/>
    <e v="#REF!"/>
    <n v="59723"/>
    <d v="2023-03-23T00:00:00"/>
    <n v="76000000"/>
    <m/>
    <m/>
    <m/>
    <n v="76000000"/>
    <s v="SI"/>
    <d v="2023-03-22T00:00:00"/>
    <s v="2 CUMPLIMIENTO"/>
    <d v="2023-03-17T00:00:00"/>
    <d v="2023-12-31T00:00:00"/>
    <n v="289"/>
    <s v="DIEGO EMILIO OJEDA MONCAYO"/>
    <n v="19498970"/>
    <m/>
    <m/>
    <m/>
    <m/>
    <m/>
    <m/>
    <m/>
    <m/>
    <n v="76000000"/>
    <m/>
    <m/>
    <m/>
    <m/>
    <m/>
    <m/>
    <m/>
    <m/>
    <m/>
    <n v="289"/>
    <m/>
    <m/>
  </r>
  <r>
    <s v="UNIDAD ADMINISTRATIVA ESPECIAL MIGRACIÓN COLOMBIA"/>
    <s v="900477235-6"/>
    <s v="TVEC"/>
    <n v="122"/>
    <x v="4"/>
    <s v="20236231410000005E"/>
    <n v="180076"/>
    <x v="2"/>
    <x v="43"/>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 106509-2023"/>
    <s v="Marzo"/>
    <d v="2023-03-21T00:00:00"/>
    <s v="minima cuantia grandes superficies"/>
    <m/>
    <s v="Nivel Central"/>
    <s v="Bogotá D.C."/>
    <s v="CENCOSUD COLOMBIA S.A."/>
    <n v="900155107"/>
    <m/>
    <s v="N/A"/>
    <s v="NO"/>
    <m/>
    <m/>
    <m/>
    <e v="#REF!"/>
    <n v="60823"/>
    <d v="2023-03-24T00:00:00"/>
    <n v="4335800"/>
    <m/>
    <m/>
    <m/>
    <n v="4335800"/>
    <s v="NO"/>
    <s v="N/A"/>
    <s v="N/A"/>
    <d v="2023-03-21T00:00:00"/>
    <d v="2023-06-17T00:00:00"/>
    <n v="88"/>
    <s v="Luz Elena Morales Alfonso"/>
    <n v="40029680"/>
    <m/>
    <m/>
    <m/>
    <m/>
    <m/>
    <m/>
    <m/>
    <m/>
    <n v="4335800"/>
    <m/>
    <m/>
    <m/>
    <m/>
    <m/>
    <m/>
    <m/>
    <m/>
    <m/>
    <n v="88"/>
    <m/>
    <m/>
  </r>
  <r>
    <s v="UNIDAD ADMINISTRATIVA ESPECIAL MIGRACIÓN COLOMBIA"/>
    <s v="900477235-6"/>
    <s v="TVEC"/>
    <n v="122"/>
    <x v="4"/>
    <s v="20236231410000006E"/>
    <n v="182971"/>
    <x v="2"/>
    <x v="43"/>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 -106488-2023"/>
    <s v="Marzo"/>
    <d v="2023-03-21T00:00:00"/>
    <s v="minima cuantia grandes superficies"/>
    <m/>
    <s v="Nivel Central"/>
    <s v="Bogotá D.C."/>
    <s v="FERRICENTROS"/>
    <s v="800237412-1"/>
    <m/>
    <s v="N/A"/>
    <s v="NO"/>
    <m/>
    <m/>
    <m/>
    <e v="#REF!"/>
    <n v="60923"/>
    <d v="2023-03-24T00:00:00"/>
    <n v="6936000"/>
    <m/>
    <m/>
    <m/>
    <n v="6936000"/>
    <s v="NO"/>
    <s v="N/A"/>
    <s v="N/A"/>
    <d v="2023-03-21T00:00:00"/>
    <d v="2023-06-17T00:00:00"/>
    <n v="88"/>
    <s v="Luz Elena Morales Alfonso"/>
    <n v="40029680"/>
    <m/>
    <m/>
    <m/>
    <m/>
    <m/>
    <m/>
    <m/>
    <m/>
    <n v="6936000"/>
    <m/>
    <m/>
    <m/>
    <m/>
    <m/>
    <m/>
    <m/>
    <m/>
    <m/>
    <n v="88"/>
    <m/>
    <m/>
  </r>
  <r>
    <s v="UNIDAD ADMINISTRATIVA ESPECIAL MIGRACIÓN COLOMBIA"/>
    <s v="900477235-6"/>
    <s v="TVEC"/>
    <n v="140"/>
    <x v="2"/>
    <s v="20236211410000012E"/>
    <n v="146696"/>
    <x v="3"/>
    <x v="44"/>
    <s v="minima cuantia"/>
    <s v="orden de compra "/>
    <x v="23"/>
    <s v="R14 CONTRATAR EL SERVICIO INTEGRAL DE ASEO Y CAFETERIA PARA LA SEDE 1: PCM BAHÍA SOLANO, SEDE 2: CFSM QUIBDÓ, REGION 14 DE LA UNIDAD ADMINISTRATIVA ESPECIAL MIGRACIÓN COLOMBIA"/>
    <n v="76111501"/>
    <s v="Servicios de limpieza y mantenimiento de edificios generales y de oficinas "/>
    <n v="31710054"/>
    <n v="31710054"/>
    <n v="28623"/>
    <s v="A-02-02-02-006-003"/>
    <s v="Celebrado"/>
    <s v="En ejecución"/>
    <m/>
    <s v="107476"/>
    <s v="ABRIL "/>
    <d v="2023-04-11T00:00:00"/>
    <s v="Prestación de Servicios de apoyo a la Gestion "/>
    <m/>
    <s v="Choco"/>
    <m/>
    <s v="LIMPIEZA INSTITUCIONAL LASU "/>
    <n v="900427788"/>
    <n v="3"/>
    <s v="N/A"/>
    <m/>
    <m/>
    <m/>
    <s v="N/A"/>
    <s v="N/A"/>
    <n v="68823"/>
    <d v="2023-04-11T00:00:00"/>
    <n v="31710054.149999999"/>
    <m/>
    <m/>
    <m/>
    <n v="31710054.149999999"/>
    <s v="SI"/>
    <d v="2023-04-04T00:00:00"/>
    <s v="2 CUMPLIMIENTO"/>
    <d v="2023-04-11T00:00:00"/>
    <d v="2023-12-31T00:00:00"/>
    <n v="264"/>
    <s v="TANIA DE CARMEN MORALES"/>
    <n v="67026330"/>
    <m/>
    <m/>
    <m/>
    <m/>
    <m/>
    <m/>
    <m/>
    <m/>
    <n v="31710054.149999999"/>
    <m/>
    <m/>
    <m/>
    <m/>
    <m/>
    <m/>
    <m/>
    <m/>
    <m/>
    <n v="264"/>
    <m/>
    <m/>
  </r>
  <r>
    <s v="UNIDAD ADMINISTRATIVA ESPECIAL MIGRACIÓN COLOMBIA"/>
    <s v="900477235-6"/>
    <s v="Secop II"/>
    <n v="279"/>
    <x v="4"/>
    <s v="20236231407000009E"/>
    <s v="MC-007-2023"/>
    <x v="2"/>
    <x v="45"/>
    <s v="minima cuantia "/>
    <s v="aseo y cafeteria region 6"/>
    <x v="23"/>
    <s v="Contratar el servicio integral de aseo y cafetería Región 06: Sede 1: PCM Rumichaca;_x000a_ Sede 2: Pasto; Sede 3: PCM Tumaco; Sede 4: PCM_x000a_ Chiles; Sede 5: PCM San Miguel; Sede 6: PCM Mataje"/>
    <s v="76111501-90101700"/>
    <s v="servicios de aseo y limpieza- restaurantes y catering"/>
    <n v="52000000"/>
    <n v="52000000"/>
    <n v="24423"/>
    <s v="A-02-02-02-006-003"/>
    <s v="Celebrado"/>
    <s v="En ejecución"/>
    <m/>
    <s v="AO-003-2023"/>
    <s v="Marzo"/>
    <d v="2023-03-22T00:00:00"/>
    <s v="minima cuantia  "/>
    <m/>
    <s v="regional nariño"/>
    <s v="Pasto"/>
    <s v="KIOS S.A.S."/>
    <s v="900.562.598-8"/>
    <m/>
    <s v="N/A"/>
    <s v="NO"/>
    <m/>
    <m/>
    <m/>
    <e v="#REF!"/>
    <n v="59523"/>
    <d v="2023-03-23T00:00:00"/>
    <n v="52000000"/>
    <m/>
    <m/>
    <m/>
    <n v="52000000"/>
    <s v="SI"/>
    <d v="2023-03-24T00:00:00"/>
    <s v="2 CUMPLIMIENTO"/>
    <d v="2023-03-24T00:00:00"/>
    <d v="2023-04-24T00:00:00"/>
    <n v="30"/>
    <s v="Ana Mercedez Figeroa"/>
    <n v="30738603"/>
    <m/>
    <m/>
    <m/>
    <m/>
    <m/>
    <m/>
    <m/>
    <m/>
    <n v="52000000"/>
    <m/>
    <m/>
    <m/>
    <m/>
    <m/>
    <m/>
    <m/>
    <m/>
    <m/>
    <n v="30"/>
    <m/>
    <m/>
  </r>
  <r>
    <s v="UNIDAD ADMINISTRATIVA ESPECIAL MIGRACIÓN COLOMBIA"/>
    <s v="900477235-6"/>
    <s v="TVEC"/>
    <n v="122"/>
    <x v="4"/>
    <s v="20236231410000007E"/>
    <n v="182978"/>
    <x v="2"/>
    <x v="45"/>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2-2023"/>
    <s v="Marzo"/>
    <d v="2023-03-23T00:00:00"/>
    <s v="minima cuantia grandes superficies"/>
    <m/>
    <s v="Nivel Central"/>
    <s v="Bogotá D.C."/>
    <s v="PANAMERICANA LIBRERÍA Y PAPELERÍA S.A."/>
    <s v="830037946-3"/>
    <m/>
    <s v="N/A"/>
    <s v="NO"/>
    <m/>
    <m/>
    <m/>
    <e v="#REF!"/>
    <n v="61023"/>
    <d v="2023-03-24T00:00:00"/>
    <n v="2660583"/>
    <m/>
    <m/>
    <m/>
    <n v="2660583"/>
    <s v="NO"/>
    <s v="N/A"/>
    <s v="N/A"/>
    <d v="2023-03-23T00:00:00"/>
    <d v="2023-06-21T00:00:00"/>
    <n v="90"/>
    <s v="Luz Elena Morales Alfonso"/>
    <n v="40029680"/>
    <m/>
    <m/>
    <m/>
    <m/>
    <m/>
    <m/>
    <m/>
    <m/>
    <n v="2660583"/>
    <m/>
    <m/>
    <m/>
    <m/>
    <m/>
    <m/>
    <m/>
    <m/>
    <m/>
    <n v="90"/>
    <m/>
    <m/>
  </r>
  <r>
    <s v="UNIDAD ADMINISTRATIVA ESPECIAL MIGRACIÓN COLOMBIA"/>
    <s v="900477235-6"/>
    <s v="Secop II"/>
    <n v="279"/>
    <x v="4"/>
    <s v="20236231407000009E"/>
    <s v="MC-007-2023"/>
    <x v="2"/>
    <x v="45"/>
    <s v="minima cuantia "/>
    <s v="aseo y cafeteria region 6"/>
    <x v="23"/>
    <s v="Contratar el servicio integral de aseo y cafetería Región 06: Sede 1: PCM Rumichaca;_x000a_ Sede 2: Pasto; Sede 3: PCM Tumaco; Sede 4: PCM_x000a_ Chiles; Sede 5: PCM San Miguel; Sede 6: PCM Mataje"/>
    <s v="76111501-90101700"/>
    <s v="servicios de aseo y limpieza- restaurantes y catering"/>
    <n v="52000000"/>
    <n v="52000000"/>
    <n v="24423"/>
    <s v="A-02-02-02-006-003"/>
    <s v="Celebrado"/>
    <s v="En ejecución"/>
    <m/>
    <s v="AO-003-2023"/>
    <s v="Marzo"/>
    <d v="2023-03-22T00:00:00"/>
    <s v="minima cuantia  "/>
    <m/>
    <s v="regional nariño"/>
    <s v="Pasto"/>
    <s v="KIOS S.A.S."/>
    <s v="900.562.598-8"/>
    <m/>
    <s v="N/A"/>
    <s v="NO"/>
    <m/>
    <m/>
    <m/>
    <s v="N/A"/>
    <n v="59523"/>
    <d v="2023-03-23T00:00:00"/>
    <n v="52000000"/>
    <m/>
    <m/>
    <m/>
    <n v="52000000"/>
    <s v="SI"/>
    <d v="2023-03-24T00:00:00"/>
    <s v="2 CUMPLIMIENTO"/>
    <d v="2023-03-24T00:00:00"/>
    <d v="2023-04-24T00:00:00"/>
    <n v="30"/>
    <s v="Ana Mercedez Figueroa"/>
    <n v="30738603"/>
    <m/>
    <m/>
    <m/>
    <m/>
    <m/>
    <m/>
    <m/>
    <m/>
    <n v="52000000"/>
    <n v="28"/>
    <d v="2023-05-22T00:00:00"/>
    <d v="2023-04-21T00:00:00"/>
    <m/>
    <m/>
    <m/>
    <m/>
    <m/>
    <m/>
    <n v="58"/>
    <m/>
    <m/>
  </r>
  <r>
    <s v="UNIDAD ADMINISTRATIVA ESPECIAL MIGRACIÓN COLOMBIA"/>
    <s v="900477235-6"/>
    <s v="TVEC"/>
    <n v="129"/>
    <x v="2"/>
    <s v=" 20236211410000009E"/>
    <n v="146546"/>
    <x v="2"/>
    <x v="45"/>
    <s v="minima cuantia"/>
    <s v="orden de compra "/>
    <x v="23"/>
    <s v="R5 CONTRATAR EL SERVICIO INTEGRAL DE ASEO Y CAFETERIA PARA LAS SEDES DE POPAYÁN, BUENAVENTURA, CALI Y PALMIRA REGION 5 DE LA UNIDAD ADMINISTRATIVA ESPECIAL MIGRACIÓN COLOMBIA"/>
    <n v="76111501"/>
    <s v="Servicios de limpieza y mantenimiento de edificios generales y de oficinas "/>
    <n v="119925811"/>
    <n v="119925811"/>
    <n v="28623"/>
    <s v="A-02-02-02-006-003"/>
    <s v="Celebrado"/>
    <s v="En ejecución"/>
    <m/>
    <s v="107318"/>
    <s v="ABRIL "/>
    <d v="2023-04-04T00:00:00"/>
    <s v="Prestación de Servicios de apoyo a la Gestion "/>
    <m/>
    <s v="Regional Occidente"/>
    <s v="Cali"/>
    <s v="INTERNEGOCIOS SAS "/>
    <n v="900240753"/>
    <n v="1"/>
    <s v="N/A"/>
    <m/>
    <m/>
    <m/>
    <s v="N/A"/>
    <s v="N/A"/>
    <n v="66723"/>
    <d v="2023-04-05T00:00:00"/>
    <n v="113180028.02"/>
    <m/>
    <m/>
    <m/>
    <n v="113180028.02"/>
    <s v="SI"/>
    <d v="2023-04-20T00:00:00"/>
    <s v="2 CUMPLIMIENTO"/>
    <d v="2023-04-04T00:00:00"/>
    <d v="2023-12-31T00:00:00"/>
    <n v="271"/>
    <s v="AIDA LORENA TELLO"/>
    <n v="27082113"/>
    <m/>
    <m/>
    <m/>
    <m/>
    <m/>
    <m/>
    <m/>
    <m/>
    <n v="113180028.02"/>
    <m/>
    <m/>
    <m/>
    <m/>
    <m/>
    <m/>
    <m/>
    <m/>
    <m/>
    <n v="271"/>
    <m/>
    <m/>
  </r>
  <r>
    <s v="UNIDAD ADMINISTRATIVA ESPECIAL MIGRACIÓN COLOMBIA"/>
    <s v="900477235-6"/>
    <s v="Secop II"/>
    <n v="126"/>
    <x v="0"/>
    <s v="20236231408000009E"/>
    <s v="SIE-007-2023-8SYF"/>
    <x v="2"/>
    <x v="46"/>
    <s v="Subasta Inversa"/>
    <s v="Suministro"/>
    <x v="3"/>
    <s v="SUMINISTRO DE LLANTAS A NIVEL NACIONAL PARA EL PARQUE AUTOMOTOR DE LA UNIDAD ADMINISTRATIVA ESPECIAL MIGRACIÓN COLOMBIA"/>
    <s v="25172504;25172512"/>
    <s v="Llantas para automóviles o camionetas - Llanta de motocicleta"/>
    <n v="75000000"/>
    <n v="75000000"/>
    <n v="25523"/>
    <s v="A-02-02-01-003-006"/>
    <s v="En trámite"/>
    <s v="N/A"/>
    <m/>
    <m/>
    <m/>
    <m/>
    <m/>
    <m/>
    <m/>
    <m/>
    <m/>
    <m/>
    <m/>
    <m/>
    <m/>
    <m/>
    <m/>
    <m/>
    <e v="#REF!"/>
    <m/>
    <m/>
    <m/>
    <m/>
    <m/>
    <m/>
    <m/>
    <m/>
    <m/>
    <m/>
    <m/>
    <m/>
    <n v="0"/>
    <m/>
    <m/>
    <m/>
    <m/>
    <m/>
    <m/>
    <m/>
    <m/>
    <m/>
    <m/>
    <m/>
    <m/>
    <m/>
    <m/>
    <m/>
    <m/>
    <m/>
    <m/>
    <m/>
    <m/>
    <m/>
    <m/>
    <m/>
  </r>
  <r>
    <s v="UNIDAD ADMINISTRATIVA ESPECIAL MIGRACIÓN COLOMBIA"/>
    <s v="900477235-6"/>
    <s v="TVEC"/>
    <n v="122"/>
    <x v="4"/>
    <s v="20236231410000009E"/>
    <n v="183255"/>
    <x v="2"/>
    <x v="46"/>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4-2023"/>
    <s v="Marzo"/>
    <d v="2023-03-23T00:00:00"/>
    <s v="minima cuantia grandes superficies"/>
    <m/>
    <s v="Nivel Central"/>
    <s v="Bogotá D.C."/>
    <s v="VENEPLAST LTDA"/>
    <s v="900019737-8"/>
    <m/>
    <s v="N/A"/>
    <s v="NO"/>
    <m/>
    <m/>
    <m/>
    <e v="#REF!"/>
    <n v="61123"/>
    <d v="2023-03-24T00:00:00"/>
    <n v="3232214"/>
    <m/>
    <m/>
    <m/>
    <n v="3232214"/>
    <s v="NO"/>
    <s v="N/A"/>
    <s v="N/A"/>
    <d v="2023-03-23T00:00:00"/>
    <d v="2023-06-22T00:00:00"/>
    <n v="91"/>
    <s v="JAVIER FERNANDO TORRES BARÓN"/>
    <n v="1018409885"/>
    <m/>
    <m/>
    <m/>
    <m/>
    <m/>
    <m/>
    <m/>
    <m/>
    <n v="3232214"/>
    <m/>
    <m/>
    <m/>
    <m/>
    <m/>
    <m/>
    <m/>
    <m/>
    <m/>
    <n v="91"/>
    <m/>
    <m/>
  </r>
  <r>
    <s v="UNIDAD ADMINISTRATIVA ESPECIAL MIGRACIÓN COLOMBIA"/>
    <s v="900477235-6"/>
    <s v="TVEC"/>
    <n v="122"/>
    <x v="4"/>
    <s v="20236231410000008E"/>
    <n v="183019"/>
    <x v="2"/>
    <x v="46"/>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1-2023"/>
    <s v="Marzo"/>
    <d v="2023-03-23T00:00:00"/>
    <s v="minima cuantia grandes superficies"/>
    <m/>
    <s v="Nivel Central"/>
    <s v="Bogotá D.C."/>
    <s v=" JAIME BELTRAN URIBE - Polyflex"/>
    <n v="10125834"/>
    <m/>
    <s v="N/A"/>
    <s v="NO"/>
    <m/>
    <m/>
    <m/>
    <e v="#REF!"/>
    <n v="61923"/>
    <d v="2023-03-28T00:00:00"/>
    <n v="2945200"/>
    <m/>
    <m/>
    <m/>
    <n v="2945200"/>
    <s v="NO"/>
    <s v="N/A"/>
    <s v="N/A"/>
    <d v="2023-03-23T00:00:00"/>
    <d v="2023-06-22T00:00:00"/>
    <n v="91"/>
    <s v="JAVIER FERNANDO TORRES BARÓN"/>
    <n v="1018409885"/>
    <m/>
    <m/>
    <m/>
    <m/>
    <m/>
    <m/>
    <m/>
    <m/>
    <n v="2945200"/>
    <m/>
    <m/>
    <m/>
    <m/>
    <m/>
    <m/>
    <m/>
    <m/>
    <m/>
    <n v="91"/>
    <m/>
    <m/>
  </r>
  <r>
    <s v="UNIDAD ADMINISTRATIVA ESPECIAL MIGRACIÓN COLOMBIA"/>
    <s v="900477235-6"/>
    <s v="TVEC"/>
    <n v="266"/>
    <x v="2"/>
    <s v="20236231410000003E"/>
    <n v="146730"/>
    <x v="2"/>
    <x v="46"/>
    <s v="minima cuantia"/>
    <s v="orden de compra "/>
    <x v="21"/>
    <s v="CONTRATAR LA ADQUISICIÓN DE BOTIQUINES REQUERIDOS PARA PREVENCIÓN DE EMERGENCIAS"/>
    <n v="42171917"/>
    <s v="Estuches o bolsas o accesorios de primeros auxilios para servicios médicos de emergencia"/>
    <n v="33500000"/>
    <n v="33500000"/>
    <n v="26923"/>
    <s v="A-02-02-01-003-005"/>
    <s v="Celebrado"/>
    <s v="En ejecución"/>
    <m/>
    <n v="107641"/>
    <s v="ABRIL "/>
    <d v="2023-04-13T00:00:00"/>
    <s v="Compraventa"/>
    <m/>
    <s v="Nivel Central"/>
    <s v="Bogotá D.C."/>
    <s v="INVERSION Y HOGAR SAS"/>
    <n v="900349363"/>
    <n v="2"/>
    <s v="N/A"/>
    <s v="NO"/>
    <s v="Pequeña"/>
    <m/>
    <s v="N/A"/>
    <s v="N/A"/>
    <n v="70823"/>
    <d v="2023-04-14T00:00:00"/>
    <n v="18221815.34"/>
    <m/>
    <m/>
    <m/>
    <n v="18221815.34"/>
    <s v="SI"/>
    <d v="2023-04-14T00:00:00"/>
    <s v="2 CUMPLIMIENTO"/>
    <d v="2023-04-14T00:00:00"/>
    <d v="2023-07-12T00:00:00"/>
    <n v="89"/>
    <s v="MILADIS PADILLA"/>
    <n v="22789760"/>
    <m/>
    <m/>
    <m/>
    <m/>
    <m/>
    <m/>
    <m/>
    <m/>
    <n v="18221815.34"/>
    <m/>
    <m/>
    <m/>
    <m/>
    <m/>
    <m/>
    <m/>
    <m/>
    <m/>
    <n v="89"/>
    <m/>
    <m/>
  </r>
  <r>
    <s v="UNIDAD ADMINISTRATIVA ESPECIAL MIGRACIÓN COLOMBIA"/>
    <s v="900477235-6"/>
    <s v="TVEC"/>
    <n v="42"/>
    <x v="1"/>
    <s v="20232401410000001E"/>
    <n v="146961"/>
    <x v="2"/>
    <x v="47"/>
    <s v="Selección Abreviada"/>
    <s v="Acuerdo Marco de Precios"/>
    <x v="14"/>
    <s v="Contratar el servicio de Contact Center para cubrir los canales de comunicación y servicio a la ciudadanía, establecidos por Migración Colombia."/>
    <n v="81111811"/>
    <s v="Servicios de soporte técnico o de mesa de ayuda"/>
    <n v="4019895748"/>
    <n v="4019860837.5999999"/>
    <n v="26023"/>
    <s v="C-1199-1002-10-0-1199001-02"/>
    <s v="Celebrado"/>
    <s v="En ejecución"/>
    <m/>
    <s v="OC-107791"/>
    <s v="Abril"/>
    <d v="2023-04-17T00:00:00"/>
    <s v="Orden de Compra"/>
    <m/>
    <s v="Nivel Central"/>
    <s v="Bogotá D.C."/>
    <s v="BPM CONSULTING"/>
    <n v="900011395"/>
    <n v="6"/>
    <m/>
    <m/>
    <m/>
    <m/>
    <m/>
    <n v="123"/>
    <n v="71823"/>
    <d v="2023-04-17T00:00:00"/>
    <n v="2499999979.2199998"/>
    <m/>
    <m/>
    <m/>
    <n v="2499999979.2199998"/>
    <s v="SI"/>
    <d v="2023-04-18T00:00:00"/>
    <s v="9 CUMPLIMIENTO"/>
    <d v="2023-05-02T00:00:00"/>
    <d v="2023-12-31T00:00:00"/>
    <n v="243"/>
    <s v="LEIDY ANDREA MARTINEZ GUTIERREZ"/>
    <n v="52836662"/>
    <m/>
    <m/>
    <m/>
    <m/>
    <m/>
    <m/>
    <m/>
    <m/>
    <m/>
    <m/>
    <m/>
    <m/>
    <m/>
    <m/>
    <m/>
    <m/>
    <m/>
    <m/>
    <m/>
    <m/>
    <m/>
  </r>
  <r>
    <s v="UNIDAD ADMINISTRATIVA ESPECIAL MIGRACIÓN COLOMBIA"/>
    <s v="900477235-6"/>
    <s v="Secop II"/>
    <n v="208"/>
    <x v="3"/>
    <s v="20236211413000007E"/>
    <s v="PCD-111-2023-90SYF"/>
    <x v="2"/>
    <x v="47"/>
    <s v="Contratación Directa"/>
    <s v="Prestación de servicios Profesionales"/>
    <x v="18"/>
    <s v="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
    <s v="77102001 - 77101501"/>
    <s v="Servicios de certificación de cumplimiento de requisitos legales"/>
    <n v="30000000"/>
    <n v="30000000"/>
    <n v="28723"/>
    <s v="C-1103-1002-2-0-1103001-02 "/>
    <s v="Celebrado"/>
    <s v="En ejecución"/>
    <s v="N/A"/>
    <s v="CO-106-2023"/>
    <s v="Marzo"/>
    <d v="2023-03-28T00:00:00"/>
    <s v="Prestación de Servicios Profesionales "/>
    <m/>
    <s v="Nivel Central "/>
    <s v="Bogotá D.C."/>
    <s v="MARTHA ISABEL CONRADO LÓPEZ"/>
    <n v="52966252"/>
    <s v="N/A"/>
    <s v="Ing. Ambiental y Sanitaria"/>
    <m/>
    <m/>
    <m/>
    <d v="1983-11-07T00:00:00"/>
    <e v="#REF!"/>
    <n v="63123"/>
    <d v="2023-03-29T00:00:00"/>
    <n v="30000000"/>
    <m/>
    <m/>
    <m/>
    <n v="30000000"/>
    <s v="SI"/>
    <d v="2023-03-31T00:00:00"/>
    <s v="2 CUMPLIMIENTO"/>
    <d v="2023-04-01T00:00:00"/>
    <d v="2023-12-31T00:00:00"/>
    <n v="274"/>
    <s v="PORRAS GARCIA JESUS ANDRES"/>
    <n v="79994053"/>
    <m/>
    <m/>
    <m/>
    <m/>
    <m/>
    <m/>
    <m/>
    <m/>
    <e v="#REF!"/>
    <m/>
    <m/>
    <m/>
    <m/>
    <m/>
    <m/>
    <m/>
    <m/>
    <m/>
    <n v="274"/>
    <m/>
    <m/>
  </r>
  <r>
    <s v="UNIDAD ADMINISTRATIVA ESPECIAL MIGRACIÓN COLOMBIA"/>
    <s v="900477235-6"/>
    <s v="TVEC"/>
    <n v="202"/>
    <x v="4"/>
    <s v="20236221410000001E"/>
    <n v="147073"/>
    <x v="2"/>
    <x v="47"/>
    <s v="minima cuantia"/>
    <s v="orden de compra "/>
    <x v="23"/>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7932"/>
    <s v="ABRIL "/>
    <d v="2023-04-18T00:00:00"/>
    <s v="Compraventa"/>
    <m/>
    <s v="Nivel Central"/>
    <s v="Bogotá D.C."/>
    <s v="SOCIEDAD CAMERAL DE CERTIFICACION DIGITAL CERTICAMARA S.A."/>
    <n v="830084433"/>
    <n v="7"/>
    <s v="N/A"/>
    <m/>
    <m/>
    <m/>
    <s v="N/A"/>
    <s v="N/A"/>
    <n v="73423"/>
    <d v="2023-04-20T00:00:00"/>
    <n v="3391910.55"/>
    <m/>
    <m/>
    <m/>
    <n v="3391910.55"/>
    <s v="SI"/>
    <m/>
    <s v="2 CUMPLIMIENTO"/>
    <d v="2023-04-18T00:00:00"/>
    <d v="2023-07-12T00:00:00"/>
    <n v="85"/>
    <s v="GILMER AMEZQUITA  MONROY"/>
    <n v="79717103"/>
    <m/>
    <m/>
    <m/>
    <m/>
    <m/>
    <m/>
    <m/>
    <m/>
    <n v="3391910.55"/>
    <m/>
    <m/>
    <m/>
    <m/>
    <m/>
    <m/>
    <m/>
    <m/>
    <m/>
    <n v="85"/>
    <m/>
    <m/>
  </r>
  <r>
    <s v="UNIDAD ADMINISTRATIVA ESPECIAL MIGRACIÓN COLOMBIA"/>
    <s v="900477235-6"/>
    <s v="TVEC"/>
    <n v="202"/>
    <x v="4"/>
    <s v="20236231410000022E "/>
    <n v="147076"/>
    <x v="2"/>
    <x v="47"/>
    <s v="minima cuantia-acuerdo marco"/>
    <s v="firmas digitales"/>
    <x v="3"/>
    <s v="Adquirir certificados de firma digital de conformidad_x000a_ con las especificaciones de la unidad administrativa especial migración Colombia"/>
    <n v="432332"/>
    <s v="Difusión de tecnologías de información y telecomunicaciones Software ,Software de seguridad y protección"/>
    <n v="250000000"/>
    <n v="68613302.739999995"/>
    <n v="28923"/>
    <s v="C-1199-1002-8-0-1199018-02"/>
    <s v="En tramite "/>
    <s v="N/A"/>
    <m/>
    <m/>
    <m/>
    <m/>
    <s v="minima cuantia-acuerdo marco"/>
    <m/>
    <s v="Nivel Central"/>
    <s v="Bogotá D.C."/>
    <m/>
    <m/>
    <m/>
    <s v="N/A"/>
    <s v="NO"/>
    <m/>
    <m/>
    <m/>
    <e v="#REF!"/>
    <m/>
    <m/>
    <m/>
    <m/>
    <m/>
    <m/>
    <m/>
    <m/>
    <m/>
    <m/>
    <m/>
    <m/>
    <m/>
    <m/>
    <m/>
    <m/>
    <m/>
    <m/>
    <m/>
    <m/>
    <m/>
    <m/>
    <m/>
    <m/>
    <m/>
    <m/>
    <m/>
    <m/>
    <m/>
    <m/>
    <m/>
    <m/>
    <m/>
    <m/>
    <m/>
    <m/>
  </r>
  <r>
    <s v="UNIDAD ADMINISTRATIVA ESPECIAL MIGRACIÓN COLOMBIA"/>
    <s v="900477235-6"/>
    <s v="TVEC"/>
    <n v="202"/>
    <x v="4"/>
    <s v="20236231410000018E"/>
    <n v="147076"/>
    <x v="2"/>
    <x v="47"/>
    <s v="minima cuantia"/>
    <s v="orden de compra "/>
    <x v="23"/>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7934"/>
    <s v="ABRIL "/>
    <d v="2023-04-18T00:00:00"/>
    <s v="Compraventa"/>
    <m/>
    <s v="Nivel Central"/>
    <s v="Bogotá D.C."/>
    <s v="GESTION DE SEGURIDAD ELECTRONICA SA"/>
    <n v="900204272"/>
    <n v="8"/>
    <s v="N/A"/>
    <m/>
    <m/>
    <m/>
    <s v="N/A"/>
    <s v="N/A"/>
    <s v=" 72923"/>
    <d v="2023-04-19T00:00:00"/>
    <n v="3821479.37"/>
    <m/>
    <m/>
    <m/>
    <n v="3821479.37"/>
    <s v="SI"/>
    <m/>
    <s v="2 CUMPLIMIENTO"/>
    <d v="2023-04-18T00:00:00"/>
    <d v="2023-07-12T00:00:00"/>
    <n v="85"/>
    <s v="SHIRLEY HERAZ DE LA OZ"/>
    <n v="55223374"/>
    <m/>
    <m/>
    <m/>
    <m/>
    <m/>
    <m/>
    <m/>
    <m/>
    <n v="3821479.37"/>
    <m/>
    <m/>
    <m/>
    <m/>
    <m/>
    <m/>
    <m/>
    <m/>
    <m/>
    <n v="85"/>
    <m/>
    <m/>
  </r>
  <r>
    <s v="UNIDAD ADMINISTRATIVA ESPECIAL MIGRACIÓN COLOMBIA"/>
    <s v="900477235-6"/>
    <s v="TVEC"/>
    <n v="202"/>
    <x v="4"/>
    <s v="20236231410000024E"/>
    <n v="147086"/>
    <x v="2"/>
    <x v="47"/>
    <s v="minima cuantia"/>
    <s v="orden de compra "/>
    <x v="23"/>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8173"/>
    <s v="ABRIL "/>
    <d v="2023-04-21T00:00:00"/>
    <s v="Compraventa"/>
    <m/>
    <s v="Nivel Central"/>
    <s v="Bogotá D.C."/>
    <s v="GESTION DE SEGURIDAD ELECTRONICA SA"/>
    <n v="900204272"/>
    <n v="8"/>
    <s v="N/A"/>
    <m/>
    <m/>
    <m/>
    <s v="N/A"/>
    <s v="N/A"/>
    <n v="75323"/>
    <d v="2023-04-21T00:00:00"/>
    <n v="6027350"/>
    <m/>
    <m/>
    <m/>
    <n v="6027350"/>
    <s v="SI"/>
    <m/>
    <s v="2 CUMPLIMIENTO"/>
    <d v="2023-04-21T00:00:00"/>
    <d v="2023-07-12T00:00:00"/>
    <n v="82"/>
    <s v="SHIRLEY HERAZ DE LA OZ"/>
    <n v="55223374"/>
    <m/>
    <m/>
    <m/>
    <m/>
    <m/>
    <m/>
    <m/>
    <m/>
    <n v="6027350"/>
    <m/>
    <m/>
    <m/>
    <m/>
    <m/>
    <m/>
    <m/>
    <m/>
    <m/>
    <n v="82"/>
    <m/>
    <m/>
  </r>
  <r>
    <s v="UNIDAD ADMINISTRATIVA ESPECIAL MIGRACIÓN COLOMBIA"/>
    <s v="900477235-6"/>
    <s v="TVEC"/>
    <n v="202"/>
    <x v="4"/>
    <s v="20236231410000023E"/>
    <n v="147082"/>
    <x v="2"/>
    <x v="47"/>
    <s v="minima cuantia"/>
    <s v="orden de compra "/>
    <x v="23"/>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8355"/>
    <s v="ABRIL "/>
    <d v="2023-04-25T00:00:00"/>
    <s v="Compraventa"/>
    <m/>
    <s v="Nivel Central"/>
    <s v="Bogotá D.C."/>
    <s v="GESTION DE SEGURIDAD ELECTRONICA SA"/>
    <n v="900204272"/>
    <n v="8"/>
    <s v="N/A"/>
    <m/>
    <m/>
    <m/>
    <s v="N/A"/>
    <s v="N/A"/>
    <n v="76823"/>
    <d v="2023-04-25T00:00:00"/>
    <n v="2871742.03"/>
    <m/>
    <m/>
    <m/>
    <n v="2871742.03"/>
    <s v="SI"/>
    <m/>
    <s v="2 CUMPLIMIENTO"/>
    <d v="2023-04-25T00:00:00"/>
    <d v="2023-07-12T00:00:00"/>
    <n v="78"/>
    <s v="YANA CRISTINA GONZALEZ "/>
    <n v="46668764"/>
    <m/>
    <m/>
    <m/>
    <m/>
    <m/>
    <m/>
    <m/>
    <m/>
    <n v="2871742.03"/>
    <m/>
    <m/>
    <m/>
    <m/>
    <m/>
    <m/>
    <m/>
    <m/>
    <m/>
    <n v="78"/>
    <m/>
    <m/>
  </r>
  <r>
    <s v="UNIDAD ADMINISTRATIVA ESPECIAL MIGRACIÓN COLOMBIA"/>
    <s v="900477235-6"/>
    <s v="TVEC"/>
    <n v="122"/>
    <x v="4"/>
    <s v="20236231410000004E"/>
    <d v="2401-01-08T00:00:00"/>
    <x v="2"/>
    <x v="48"/>
    <s v="minima cuantia"/>
    <s v="orden de compra "/>
    <x v="23"/>
    <s v="Suministro de elementos de papelería y útiles de escritorio para las sedes a nivel nacional de la Unidad Administrativa Especial Migración Colombia."/>
    <n v="14111507"/>
    <s v="Papel para Impresora o fotocopiadora"/>
    <n v="44999707"/>
    <n v="44999707"/>
    <n v="30123"/>
    <s v="A-02-02-01-003-002"/>
    <s v="Celebrado"/>
    <s v="En ejecución"/>
    <m/>
    <n v="106792"/>
    <s v="Marzo"/>
    <d v="2023-03-24T00:00:00"/>
    <s v="Compraventa"/>
    <m/>
    <s v="Nivel Central"/>
    <s v="Bogotá D.C."/>
    <s v="CAJA COLOMBIANA DE SUBSIDIO FAMILIAR COLSUBSIDIO"/>
    <n v="860007336"/>
    <n v="1"/>
    <s v="N/A"/>
    <m/>
    <m/>
    <m/>
    <m/>
    <m/>
    <n v="61523"/>
    <d v="2023-03-27T00:00:00"/>
    <n v="24889910"/>
    <m/>
    <m/>
    <m/>
    <n v="24889910"/>
    <s v="NO"/>
    <m/>
    <s v="N/A"/>
    <d v="2023-03-24T00:00:00"/>
    <d v="2023-06-22T00:00:00"/>
    <n v="90"/>
    <s v="LUZ ELENA MORALES ALFONSO"/>
    <n v="40029680"/>
    <m/>
    <m/>
    <m/>
    <m/>
    <m/>
    <m/>
    <m/>
    <n v="13700"/>
    <n v="24889910"/>
    <m/>
    <m/>
    <m/>
    <m/>
    <m/>
    <m/>
    <m/>
    <m/>
    <m/>
    <n v="90"/>
    <m/>
    <m/>
  </r>
  <r>
    <s v="UNIDAD ADMINISTRATIVA ESPECIAL MIGRACIÓN COLOMBIA"/>
    <s v="900477235-6"/>
    <s v="TVEC"/>
    <n v="268"/>
    <x v="2"/>
    <s v="20236231410000010E"/>
    <n v="101228"/>
    <x v="2"/>
    <x v="48"/>
    <s v="minima cuantia"/>
    <s v="orden de compra "/>
    <x v="21"/>
    <s v="CONTRATAR LA ADQUISICIÓN DE ELEMENTOS PARA LOS ALOJAMIENTOS DE LA ENTIDAD"/>
    <n v="56101508"/>
    <s v="Colchones o sets para dormir"/>
    <n v="52019488"/>
    <n v="52019488"/>
    <n v="26523"/>
    <s v="A-02-02-01-003-008"/>
    <s v="Celebrado"/>
    <s v="En ejecución"/>
    <m/>
    <n v="106790"/>
    <s v="Marzo"/>
    <d v="2023-03-24T00:00:00"/>
    <s v="Compraventa"/>
    <m/>
    <s v="Nivel Central"/>
    <s v="Bogotá D.C."/>
    <s v="CAJA COLOMBIANA DE SUBSIDIO FAMILIAR COLSUBSIDIO"/>
    <n v="860007336"/>
    <n v="1"/>
    <s v="N/A"/>
    <s v="NO"/>
    <m/>
    <m/>
    <s v="N/A"/>
    <s v="N/A"/>
    <n v="65523"/>
    <d v="2023-03-28T00:00:00"/>
    <n v="27991420"/>
    <m/>
    <m/>
    <m/>
    <n v="27991420"/>
    <s v="NO"/>
    <s v="N/A"/>
    <s v="N/A"/>
    <d v="2023-03-24T00:00:00"/>
    <d v="2023-04-14T00:00:00"/>
    <n v="21"/>
    <s v="MILADIS PADILLA"/>
    <n v="22789760"/>
    <m/>
    <m/>
    <m/>
    <m/>
    <m/>
    <m/>
    <m/>
    <m/>
    <n v="27991420"/>
    <n v="47"/>
    <d v="2023-05-31T00:00:00"/>
    <d v="2023-04-13T00:00:00"/>
    <m/>
    <m/>
    <m/>
    <m/>
    <m/>
    <m/>
    <n v="68"/>
    <m/>
    <m/>
  </r>
  <r>
    <s v="UNIDAD ADMINISTRATIVA ESPECIAL MIGRACIÓN COLOMBIA"/>
    <s v="900477235-6"/>
    <s v="TVEC"/>
    <n v="268"/>
    <x v="2"/>
    <s v="20236231410000014E"/>
    <n v="183369"/>
    <x v="2"/>
    <x v="48"/>
    <s v="minima cuantia"/>
    <s v="orden de compra "/>
    <x v="21"/>
    <s v="CONTRATAR LA ADQUISICIÓN DE ELEMENTOS PARA LOS ALOJAMIENTOS DE LA ENTIDAD"/>
    <n v="56101508"/>
    <s v="Colchones o sets para dormir"/>
    <n v="52019488"/>
    <n v="52019488"/>
    <n v="26523"/>
    <s v="A-02-02-01-003-008"/>
    <s v="Celebrado"/>
    <s v="En ejecución"/>
    <m/>
    <n v="106793"/>
    <s v="Marzo"/>
    <d v="2023-03-24T00:00:00"/>
    <s v="Compraventa"/>
    <m/>
    <s v="Nivel Central"/>
    <s v="Bogotá D.C."/>
    <s v="JAIME BELTRAN URIBE"/>
    <n v="10125834"/>
    <n v="1"/>
    <s v="N/A"/>
    <s v="NO"/>
    <m/>
    <m/>
    <s v="N/A"/>
    <s v="N/A"/>
    <n v="63423"/>
    <d v="2023-03-29T00:00:00"/>
    <n v="1911000"/>
    <m/>
    <m/>
    <m/>
    <n v="1911000"/>
    <s v="NO"/>
    <s v="N/A"/>
    <s v="N/A"/>
    <d v="2023-03-24T00:00:00"/>
    <d v="2023-04-14T00:00:00"/>
    <n v="21"/>
    <s v="MILADIS PADILLA"/>
    <n v="22789760"/>
    <m/>
    <m/>
    <m/>
    <m/>
    <m/>
    <m/>
    <m/>
    <m/>
    <n v="1911000"/>
    <n v="47"/>
    <d v="2023-05-31T00:00:00"/>
    <d v="2023-04-14T00:00:00"/>
    <m/>
    <m/>
    <m/>
    <m/>
    <m/>
    <m/>
    <n v="68"/>
    <m/>
    <m/>
  </r>
  <r>
    <s v="UNIDAD ADMINISTRATIVA ESPECIAL MIGRACIÓN COLOMBIA"/>
    <s v="900477235-6"/>
    <s v="TVEC"/>
    <n v="268"/>
    <x v="2"/>
    <s v="20236231410000016E"/>
    <n v="183441"/>
    <x v="2"/>
    <x v="48"/>
    <s v="minima cuantia"/>
    <s v="orden de compra "/>
    <x v="21"/>
    <s v="CONTRATAR LA ADQUISICIÓN DE ELEMENTOS PARA LOS ALOJAMIENTOS DE LA ENTIDAD"/>
    <n v="56101508"/>
    <s v="Colchones o sets para dormir"/>
    <n v="52019488"/>
    <n v="52019488"/>
    <n v="26523"/>
    <s v="A-02-02-01-003-008"/>
    <s v="Celebrado"/>
    <s v="En ejecución"/>
    <m/>
    <n v="106795"/>
    <s v="Marzo"/>
    <d v="2023-03-24T00:00:00"/>
    <s v="Compraventa"/>
    <m/>
    <s v="Nivel Central"/>
    <s v="Bogotá D.C."/>
    <s v="FERRICENTROS SAS"/>
    <n v="8002374121"/>
    <n v="1"/>
    <s v="N/A"/>
    <s v="NO"/>
    <m/>
    <m/>
    <s v="N/A"/>
    <s v="N/A"/>
    <n v="62323"/>
    <d v="2023-03-28T00:00:00"/>
    <n v="18908200"/>
    <m/>
    <m/>
    <m/>
    <n v="18908200"/>
    <s v="NO"/>
    <s v="N/A"/>
    <s v="N/A"/>
    <d v="2023-03-24T00:00:00"/>
    <d v="2023-04-14T00:00:00"/>
    <n v="21"/>
    <s v="MILADIS PADILLA"/>
    <n v="22789760"/>
    <m/>
    <m/>
    <m/>
    <m/>
    <m/>
    <m/>
    <m/>
    <m/>
    <n v="18908200"/>
    <n v="47"/>
    <d v="2023-05-31T00:00:00"/>
    <d v="2023-04-14T00:00:00"/>
    <m/>
    <m/>
    <m/>
    <m/>
    <m/>
    <m/>
    <n v="68"/>
    <m/>
    <m/>
  </r>
  <r>
    <s v="UNIDAD ADMINISTRATIVA ESPECIAL MIGRACIÓN COLOMBIA"/>
    <s v="900477235-6"/>
    <s v="TVEC"/>
    <n v="268"/>
    <x v="2"/>
    <s v="20236231410000017E"/>
    <n v="183372"/>
    <x v="2"/>
    <x v="48"/>
    <s v="minima cuantia"/>
    <s v="orden de compra "/>
    <x v="21"/>
    <s v="CONTRATAR LA ADQUISICIÓN DE ELEMENTOS PARA LOS ALOJAMIENTOS DE LA ENTIDAD"/>
    <n v="56101508"/>
    <s v="Colchones o sets para dormir"/>
    <n v="52019488"/>
    <n v="52019488"/>
    <n v="26523"/>
    <s v="A-02-02-01-003-008"/>
    <s v="Celebrado"/>
    <s v="En ejecución"/>
    <m/>
    <n v="106794"/>
    <s v="Marzo"/>
    <d v="2023-03-24T00:00:00"/>
    <s v="Compraventa"/>
    <m/>
    <s v="Nivel Central"/>
    <s v="Bogotá D.C."/>
    <s v="PROVEER INSTITUCIONAL SAS"/>
    <n v="900365660"/>
    <n v="2"/>
    <s v="N/A"/>
    <s v="NO"/>
    <m/>
    <m/>
    <s v="N/A"/>
    <s v="N/A"/>
    <n v="62723"/>
    <d v="2023-03-28T00:00:00"/>
    <n v="1393024"/>
    <m/>
    <m/>
    <m/>
    <n v="1393024"/>
    <s v="NO"/>
    <s v="N/A"/>
    <s v="N/A"/>
    <d v="2023-03-24T00:00:00"/>
    <d v="2023-04-14T00:00:00"/>
    <n v="21"/>
    <s v="MILADIS PADILLA"/>
    <n v="22789760"/>
    <m/>
    <m/>
    <m/>
    <m/>
    <m/>
    <m/>
    <m/>
    <m/>
    <n v="1393024"/>
    <n v="47"/>
    <d v="2023-05-31T00:00:00"/>
    <d v="2023-04-14T00:00:00"/>
    <m/>
    <m/>
    <m/>
    <m/>
    <m/>
    <m/>
    <n v="68"/>
    <m/>
    <m/>
  </r>
  <r>
    <s v="UNIDAD ADMINISTRATIVA ESPECIAL MIGRACIÓN COLOMBIA"/>
    <s v="900477235-6"/>
    <s v="TVEC"/>
    <n v="130"/>
    <x v="2"/>
    <s v="20236211410000014E"/>
    <n v="148295"/>
    <x v="2"/>
    <x v="48"/>
    <s v="minima cuantia"/>
    <s v="orden de compra "/>
    <x v="23"/>
    <s v="R8 CONTRATAR EL SERVICIO INTEGRAL DE ASEO Y CAFETERÍA PARA LAS SEDES TUNJA Y YOPAL REGIÓN 8 DE LA UNIDAD ADMINISTRATIVA ESPECIAL MIGRACIÓN COLOMBIA"/>
    <n v="76111501"/>
    <s v="Servicios de limpieza y mantenimiento de edificios generales y de oficinas "/>
    <n v="32196200"/>
    <n v="32196200"/>
    <n v="28623"/>
    <s v="A-02-02-02-006-003"/>
    <s v="Celebrado"/>
    <s v="En ejecución"/>
    <m/>
    <n v="108011"/>
    <s v="ABRIL "/>
    <d v="2023-04-19T00:00:00"/>
    <s v="Prestación de Servicios de apoyo a la Gestion "/>
    <m/>
    <s v="Tunja"/>
    <m/>
    <s v="UT ASEAMOS 2022 A4"/>
    <n v="901676927"/>
    <n v="1"/>
    <s v="N/A"/>
    <m/>
    <m/>
    <m/>
    <s v="N/A"/>
    <s v="N/A"/>
    <n v="73623"/>
    <d v="2023-04-20T00:00:00"/>
    <n v="29011980.52"/>
    <m/>
    <m/>
    <m/>
    <n v="29011980.52"/>
    <s v="SI"/>
    <d v="2023-04-25T00:00:00"/>
    <s v="2 CUMPLIMIENTO"/>
    <d v="2023-04-19T00:00:00"/>
    <d v="2023-12-31T00:00:00"/>
    <n v="256"/>
    <s v="CARLOS ALBERTO ARCHILA "/>
    <n v="79448817"/>
    <m/>
    <m/>
    <m/>
    <m/>
    <m/>
    <m/>
    <m/>
    <m/>
    <n v="29011980.52"/>
    <m/>
    <m/>
    <m/>
    <m/>
    <m/>
    <m/>
    <m/>
    <m/>
    <m/>
    <n v="256"/>
    <m/>
    <m/>
  </r>
  <r>
    <s v="UNIDAD ADMINISTRATIVA ESPECIAL MIGRACIÓN COLOMBIA"/>
    <s v="900477235-6"/>
    <s v="TVEC"/>
    <n v="268"/>
    <x v="2"/>
    <s v="20236231410000017E"/>
    <n v="183372"/>
    <x v="2"/>
    <x v="48"/>
    <s v="minima cuantia"/>
    <s v="orden de compra "/>
    <x v="22"/>
    <s v="CONTRATAR LA ADQUISICIÓN DE ELEMENTOS PARA LOS ALOJAMIENTOS DE LA ENTIDAD"/>
    <n v="56101508"/>
    <s v="Colchones o sets para dormir"/>
    <n v="52019488"/>
    <n v="52019488"/>
    <n v="26523"/>
    <s v="A-02-02-01-003-008"/>
    <s v="Celebrado"/>
    <s v="En ejecución"/>
    <m/>
    <n v="106794"/>
    <s v="Marzo"/>
    <d v="2023-03-24T00:00:00"/>
    <s v="Compraventa"/>
    <m/>
    <s v="Nivel Central"/>
    <s v="Bogotá D.C."/>
    <s v="PROVEER INSTITUCIONAL SAS"/>
    <n v="900365660"/>
    <n v="2"/>
    <s v="N/A"/>
    <s v="NO"/>
    <m/>
    <m/>
    <s v="N/A"/>
    <s v="N/A"/>
    <n v="62723"/>
    <d v="2023-03-28T00:00:00"/>
    <n v="1393024"/>
    <m/>
    <m/>
    <m/>
    <n v="1393024"/>
    <s v="NO"/>
    <s v="N/A"/>
    <s v="N/A"/>
    <d v="2023-03-24T00:00:00"/>
    <d v="2023-04-14T00:00:00"/>
    <n v="21"/>
    <s v="MILADIS PADILLA"/>
    <n v="22789760"/>
    <m/>
    <m/>
    <m/>
    <m/>
    <m/>
    <m/>
    <m/>
    <m/>
    <n v="1393024"/>
    <m/>
    <m/>
    <m/>
    <m/>
    <m/>
    <m/>
    <m/>
    <m/>
    <m/>
    <n v="21"/>
    <m/>
    <m/>
  </r>
  <r>
    <s v="UNIDAD ADMINISTRATIVA ESPECIAL MIGRACIÓN COLOMBIA"/>
    <s v="900477235-6"/>
    <s v="Secop II"/>
    <n v="194"/>
    <x v="3"/>
    <s v="20236231407000015E"/>
    <s v="MC-009-2023"/>
    <x v="2"/>
    <x v="49"/>
    <s v="Mínima cuantía"/>
    <m/>
    <x v="18"/>
    <s v="Contratar el suministro de combustible parque automotor y plantas eléctricas Regional Amazonas."/>
    <s v="15101505; 15101506"/>
    <s v=" Combustible diésel - Gasolina corriente"/>
    <n v="25000000"/>
    <n v="18789570"/>
    <n v="31223"/>
    <s v="A-02-02-01-003-003 "/>
    <s v="Celebrado"/>
    <s v="En ejecución"/>
    <s v="N/A"/>
    <s v="AO-008-2023"/>
    <s v="Abril"/>
    <d v="2023-04-28T00:00:00"/>
    <s v="Contrato de Suministro"/>
    <m/>
    <s v="amazonas"/>
    <s v="Leticia - Amazonas"/>
    <s v="ALBERTO LÓPEZ JIMÉNEZ"/>
    <n v="7546762"/>
    <s v="N/A"/>
    <s v="N/A"/>
    <m/>
    <m/>
    <m/>
    <s v="N/A"/>
    <s v="N/A"/>
    <m/>
    <m/>
    <m/>
    <m/>
    <m/>
    <m/>
    <m/>
    <m/>
    <m/>
    <m/>
    <m/>
    <m/>
    <n v="0"/>
    <m/>
    <m/>
    <m/>
    <m/>
    <m/>
    <m/>
    <m/>
    <m/>
    <m/>
    <m/>
    <m/>
    <m/>
    <m/>
    <m/>
    <m/>
    <m/>
    <m/>
    <m/>
    <m/>
    <m/>
    <m/>
    <m/>
    <m/>
  </r>
  <r>
    <s v="UNIDAD ADMINISTRATIVA ESPECIAL MIGRACIÓN COLOMBIA"/>
    <s v="900477235-6"/>
    <s v="TVEC"/>
    <n v="128"/>
    <x v="2"/>
    <s v="20236211410000015E"/>
    <n v="148177"/>
    <x v="2"/>
    <x v="49"/>
    <s v="minima cuantia"/>
    <s v="orden de compra "/>
    <x v="23"/>
    <s v="R11 CONTRATAR EL SERVICIO INTEGRAL DE ASEO Y CAFETERIA REGION 11: Sede 1: CFSM Calle 100 Regional Andina, Sede 2: PCM Aeropuerto Internacional El Dorado, Sede 3: Sede Nivel central Edificio Argos, sede 4: CB Normandía de la UAEMC."/>
    <n v="76111501"/>
    <s v="Servicios de limpieza y mantenimiento de edificios generales y de oficinas "/>
    <n v="406829087"/>
    <n v="406829087"/>
    <n v="28623"/>
    <s v="A-02-02-02-006-003"/>
    <s v="Celebrado"/>
    <s v="En ejecución"/>
    <m/>
    <n v="108112"/>
    <s v="ABRIL "/>
    <d v="2023-04-20T00:00:00"/>
    <s v="Prestación de Servicios de apoyo a la Gestion "/>
    <m/>
    <s v="Nivel Central"/>
    <s v="Bogotá D.C."/>
    <s v="UT OUTSOURCING GIAF"/>
    <n v="901677020"/>
    <n v="1"/>
    <s v="N/A"/>
    <m/>
    <m/>
    <m/>
    <s v="N/A"/>
    <s v="N/A"/>
    <n v="74923"/>
    <d v="2023-04-21T00:00:00"/>
    <n v="339572893.01999998"/>
    <m/>
    <m/>
    <m/>
    <n v="339572893.01999998"/>
    <s v="SI"/>
    <d v="2023-04-25T00:00:00"/>
    <s v="2 CUMPLIMIENTO"/>
    <d v="2023-04-20T00:00:00"/>
    <d v="2023-12-31T00:00:00"/>
    <n v="255"/>
    <s v="JOHANA OVIEDO MOLANO"/>
    <n v="52199365"/>
    <m/>
    <m/>
    <m/>
    <m/>
    <m/>
    <m/>
    <m/>
    <m/>
    <n v="339572893.01999998"/>
    <m/>
    <m/>
    <m/>
    <m/>
    <m/>
    <m/>
    <m/>
    <m/>
    <m/>
    <n v="255"/>
    <m/>
    <m/>
  </r>
  <r>
    <s v="UNIDAD ADMINISTRATIVA ESPECIAL MIGRACIÓN COLOMBIA"/>
    <s v="900477235-6"/>
    <s v="Secop II"/>
    <n v="39"/>
    <x v="5"/>
    <s v="20236231415000013E"/>
    <s v="PCD-112-2023-13COM"/>
    <x v="2"/>
    <x v="50"/>
    <s v="Contratación Directa"/>
    <s v="Exclusividad"/>
    <x v="14"/>
    <s v="CONTRATAR LA SUSCRIPCION A LA REVISTA SEMANA CON DESTINO A LA OFICINA DE COMUNICACIONES DE MIGRACION COLOMBIA"/>
    <n v="82111904"/>
    <s v="Servicios de entrega de periódicos o material publicitario"/>
    <n v="950000"/>
    <n v="838000"/>
    <n v="30023"/>
    <s v="A-02-02-01-003-002"/>
    <s v="Celebrado"/>
    <s v="En ejecución "/>
    <m/>
    <s v="CO-111-2023"/>
    <s v="ABRIL "/>
    <d v="2023-04-19T00:00:00"/>
    <s v="Contrato Electrónico de Sucripción "/>
    <m/>
    <s v="Nivel Central"/>
    <s v="Calle 24A No 59 - 42 Edificio Argos"/>
    <s v="PUBLICACIONES SEMANA S.A."/>
    <s v="860.509.256-1"/>
    <m/>
    <m/>
    <m/>
    <m/>
    <m/>
    <m/>
    <m/>
    <n v="74823"/>
    <d v="2023-04-21T00:00:00"/>
    <n v="838000"/>
    <m/>
    <m/>
    <m/>
    <n v="838000"/>
    <s v="NO"/>
    <m/>
    <m/>
    <d v="2023-04-15T00:00:00"/>
    <d v="2024-04-15T00:00:00"/>
    <n v="366"/>
    <s v="MARITZA ROCIO SERRANO VILLAMIL"/>
    <n v="393757630"/>
    <m/>
    <m/>
    <m/>
    <m/>
    <m/>
    <m/>
    <m/>
    <m/>
    <n v="838000"/>
    <m/>
    <m/>
    <m/>
    <m/>
    <m/>
    <m/>
    <m/>
    <m/>
    <m/>
    <m/>
    <m/>
    <m/>
  </r>
  <r>
    <s v="UNIDAD ADMINISTRATIVA ESPECIAL MIGRACIÓN COLOMBIA"/>
    <s v="900477235-6"/>
    <s v="Secop II"/>
    <n v="258"/>
    <x v="0"/>
    <s v="20236231408000024E"/>
    <s v="SIE-009-2023-19TH"/>
    <x v="2"/>
    <x v="50"/>
    <s v="Subasta Inversa"/>
    <s v="Compraventa"/>
    <x v="24"/>
    <s v="CONTRATAR LA ADQUISICIÓN DE SILLAS PARA LOS FUNCIONARIOS DE MIGRACIÓN COLOMBIA "/>
    <s v="56101522;56112104"/>
    <s v="Sillas de brazos - Sillas para ejecutivos"/>
    <n v="110000000"/>
    <n v="110000000"/>
    <n v="29923"/>
    <s v="A-02-01-01-003-008"/>
    <s v="En trámite"/>
    <s v="N/A"/>
    <m/>
    <m/>
    <m/>
    <m/>
    <m/>
    <m/>
    <m/>
    <m/>
    <m/>
    <m/>
    <m/>
    <m/>
    <m/>
    <m/>
    <m/>
    <m/>
    <e v="#REF!"/>
    <m/>
    <m/>
    <m/>
    <m/>
    <m/>
    <m/>
    <m/>
    <m/>
    <m/>
    <m/>
    <m/>
    <m/>
    <n v="0"/>
    <m/>
    <m/>
    <m/>
    <m/>
    <m/>
    <m/>
    <m/>
    <m/>
    <m/>
    <m/>
    <m/>
    <m/>
    <m/>
    <m/>
    <m/>
    <m/>
    <m/>
    <m/>
    <m/>
    <m/>
    <m/>
    <m/>
    <m/>
  </r>
  <r>
    <s v="UNIDAD ADMINISTRATIVA ESPECIAL MIGRACIÓN COLOMBIA"/>
    <s v="900477235-6"/>
    <s v="Secop II"/>
    <n v="79"/>
    <x v="3"/>
    <s v="20236231408000016E"/>
    <s v="SIE-008-2023"/>
    <x v="2"/>
    <x v="50"/>
    <s v="Selección abreviada "/>
    <s v="Subasta Inversa Electrónica"/>
    <x v="25"/>
    <s v="Adquirir equipos de conectividad y la extensión de garantía de Smar Net del fabricante para los equipos Cisco de acuerdo con las especificaciones técnicas requeridas por la Unidad Administrativa Especial Migración Colombia."/>
    <s v="72103300; 81111800; 32151900; 43221700; 43221800; 43222600"/>
    <s v="Dispositivos de automatización de control de la conectividad"/>
    <n v="433440000"/>
    <n v="432832203"/>
    <n v="27523"/>
    <s v="C-1199-1002-10-0-1199001-02 "/>
    <s v="En trámite"/>
    <m/>
    <m/>
    <m/>
    <m/>
    <m/>
    <m/>
    <m/>
    <m/>
    <m/>
    <m/>
    <m/>
    <m/>
    <m/>
    <m/>
    <m/>
    <m/>
    <m/>
    <e v="#REF!"/>
    <m/>
    <m/>
    <m/>
    <m/>
    <m/>
    <m/>
    <m/>
    <m/>
    <m/>
    <m/>
    <m/>
    <m/>
    <n v="0"/>
    <m/>
    <m/>
    <m/>
    <m/>
    <m/>
    <m/>
    <m/>
    <m/>
    <m/>
    <m/>
    <m/>
    <m/>
    <m/>
    <m/>
    <m/>
    <m/>
    <m/>
    <m/>
    <m/>
    <m/>
    <m/>
    <m/>
    <m/>
  </r>
  <r>
    <s v="UNIDAD ADMINISTRATIVA ESPECIAL MIGRACIÓN COLOMBIA"/>
    <s v="900477235-6"/>
    <s v="Secop II"/>
    <s v="252 "/>
    <x v="3"/>
    <s v="20236231416000005E"/>
    <s v="PCD-113-2023-13TH"/>
    <x v="2"/>
    <x v="50"/>
    <s v="Contratación Directa"/>
    <s v="Interadministrativo – Prestación de Servicios"/>
    <x v="26"/>
    <s v="Contratar la prestación de servicio de transporte aéreo de pasajeros en rutas operadas por SATENA y en las rutas nacionales e internacionales de otros operadores, para funcionarios y contratistas, así como para la atención de desplazamientos de deportados y/o expulsados."/>
    <n v="90121502"/>
    <s v="Agencias de Viajes"/>
    <n v="1036000000"/>
    <n v="1036000000"/>
    <n v="30523"/>
    <s v="A-02-02-02-006-004 - A-03-03-01-056"/>
    <s v="Celebrado"/>
    <s v="En ejecución"/>
    <s v="N/A"/>
    <s v="CO-109-2023"/>
    <s v="Abril"/>
    <d v="2023-04-13T00:00:00"/>
    <s v="INTERADMINISTRATIVO"/>
    <m/>
    <s v="Nivel Central "/>
    <s v="Bogotá D.C."/>
    <s v="SERVICIO AEREO A TERRITORIOS NACIONALES S.A. SATENA"/>
    <n v="899999143"/>
    <n v="4"/>
    <s v="N/A"/>
    <m/>
    <m/>
    <m/>
    <s v="N/A"/>
    <s v="N/A"/>
    <n v="69823"/>
    <d v="2023-04-13T00:00:00"/>
    <n v="1036000000"/>
    <m/>
    <m/>
    <m/>
    <n v="1036000000"/>
    <s v="NO"/>
    <d v="1899-12-31T00:00:00"/>
    <s v="N/A"/>
    <d v="2023-04-13T00:00:00"/>
    <d v="2023-12-31T00:00:00"/>
    <n v="262"/>
    <s v="FERNANDEZ BAQUERO JUDY MELINDA"/>
    <n v="52853481"/>
    <m/>
    <m/>
    <m/>
    <m/>
    <m/>
    <m/>
    <m/>
    <m/>
    <m/>
    <m/>
    <m/>
    <m/>
    <m/>
    <m/>
    <m/>
    <m/>
    <m/>
    <m/>
    <m/>
    <m/>
    <m/>
  </r>
  <r>
    <s v="UNIDAD ADMINISTRATIVA ESPECIAL MIGRACIÓN COLOMBIA"/>
    <s v="900477235-6"/>
    <s v="TVEC"/>
    <n v="142"/>
    <x v="2"/>
    <s v="20236211410000010E"/>
    <n v="147536"/>
    <x v="2"/>
    <x v="50"/>
    <s v="minima cuantia"/>
    <s v="orden de compra "/>
    <x v="23"/>
    <s v="R16 CONTRATAR EL SERVICIO INTEGRAL DE ASEO Y CAFETERIA PARA LA SEDE 1: CFSM PUERTO CARREÑO. REGION 16 DE LA UNIDAD ADMINISTRATIVA ESPECIAL MIGRACIÓN COLOMBIA"/>
    <n v="76111501"/>
    <s v="Servicios de limpieza y mantenimiento de edificios generales y de oficinas "/>
    <n v="24865357"/>
    <n v="24865357"/>
    <n v="28623"/>
    <s v="A-02-02-02-006-003"/>
    <s v="DESIERTO"/>
    <m/>
    <s v="NO HAY RESOLUCION"/>
    <m/>
    <m/>
    <m/>
    <m/>
    <m/>
    <m/>
    <m/>
    <m/>
    <m/>
    <m/>
    <m/>
    <m/>
    <m/>
    <m/>
    <s v="N/A"/>
    <s v="N/A"/>
    <m/>
    <m/>
    <s v="PUBLICADO CIERRE SOL RFI EL 25 DE ABRIL "/>
    <m/>
    <m/>
    <m/>
    <e v="#VALUE!"/>
    <m/>
    <s v="PENDIENTE"/>
    <s v="2 CUMPLIMIENTO"/>
    <m/>
    <m/>
    <n v="0"/>
    <m/>
    <m/>
    <m/>
    <m/>
    <m/>
    <m/>
    <m/>
    <m/>
    <m/>
    <m/>
    <e v="#VALUE!"/>
    <m/>
    <m/>
    <m/>
    <m/>
    <m/>
    <m/>
    <m/>
    <m/>
    <m/>
    <n v="0"/>
    <m/>
    <m/>
  </r>
  <r>
    <s v="UNIDAD ADMINISTRATIVA ESPECIAL MIGRACIÓN COLOMBIA"/>
    <s v="900477235-6"/>
    <s v="Secop II"/>
    <n v="168"/>
    <x v="5"/>
    <s v="20236231407000003E"/>
    <s v="SABP-001-2023"/>
    <x v="2"/>
    <x v="51"/>
    <s v="Selección Abreviada"/>
    <s v="Bolsa de Productos"/>
    <x v="18"/>
    <s v="CONTRATAR LA PRESTACIÓN DEL SERVICIO DE VIGILANCIA Y SEGURIDAD PRIVADA PARA LA UNIDAD ADMINISTRATIVA ESPECIAL MIGRACIÓN COLOMBIA EN SUS SEDES UBICADAS A NIVEL NACIONAL (NIVEL CENTRAL, REGIONALES, CENTROS FACILITADORES DE SERVICIOS MIGRATORIOS Y PUESTOS DE CONTROL MIGRATORIO)"/>
    <n v="92121500"/>
    <s v="Servicio de Guardias"/>
    <n v="10994809613"/>
    <n v="10222636747"/>
    <s v="19223 - VF 3423"/>
    <s v="A-02-02-02-008-005"/>
    <s v="En tramite "/>
    <s v="En ejecución "/>
    <m/>
    <s v="CO-110-2023"/>
    <s v="ABRIL "/>
    <d v="2023-04-12T00:00:00"/>
    <s v="Contrato de Comisión "/>
    <m/>
    <s v="Nivel Central"/>
    <s v="Bogotá D.C. "/>
    <s v="CORREAGRO S.A. "/>
    <s v="805000867-9"/>
    <m/>
    <m/>
    <m/>
    <m/>
    <m/>
    <m/>
    <m/>
    <s v="78823/78723"/>
    <d v="2023-04-28T00:00:00"/>
    <n v="5122000000"/>
    <n v="4982000000"/>
    <m/>
    <m/>
    <n v="10104000000"/>
    <s v="SI"/>
    <d v="2023-04-28T00:00:00"/>
    <s v="CUMPLIMIENTO/SALARIOS/CALIDAD DEL SERVICIO"/>
    <d v="2023-05-01T00:00:00"/>
    <d v="2024-06-30T00:00:00"/>
    <n v="426"/>
    <s v="ANDREA PEREZ ARISMENDI"/>
    <n v="52808564"/>
    <m/>
    <m/>
    <m/>
    <m/>
    <m/>
    <m/>
    <m/>
    <m/>
    <n v="10104000000"/>
    <m/>
    <m/>
    <m/>
    <m/>
    <m/>
    <m/>
    <m/>
    <m/>
    <m/>
    <m/>
    <m/>
    <m/>
  </r>
  <r>
    <s v="UNIDAD ADMINISTRATIVA ESPECIAL MIGRACIÓN COLOMBIA"/>
    <s v="900477235-6"/>
    <s v="Secop II"/>
    <n v="34"/>
    <x v="1"/>
    <s v="20236231408000004E"/>
    <s v="SAMC-004-2023"/>
    <x v="2"/>
    <x v="52"/>
    <s v="Selección Abreviada"/>
    <s v="Menor Cuantia"/>
    <x v="14"/>
    <s v="CONTRATAR EL SERVICIO DE MONITOREO DE MEDIOS MASIVOS DE COMUNICACION"/>
    <n v="82111902"/>
    <s v="Servicios de boletines informativos de interés especial"/>
    <n v="70000000"/>
    <n v="50677075"/>
    <n v="22923"/>
    <s v="A-02-02-02-008-003"/>
    <s v="Cancelado"/>
    <m/>
    <m/>
    <m/>
    <m/>
    <m/>
    <m/>
    <m/>
    <m/>
    <m/>
    <m/>
    <m/>
    <m/>
    <m/>
    <m/>
    <m/>
    <m/>
    <m/>
    <n v="123"/>
    <m/>
    <m/>
    <m/>
    <m/>
    <m/>
    <m/>
    <n v="0"/>
    <m/>
    <m/>
    <m/>
    <m/>
    <m/>
    <n v="0"/>
    <m/>
    <m/>
    <m/>
    <m/>
    <m/>
    <m/>
    <m/>
    <m/>
    <m/>
    <m/>
    <m/>
    <m/>
    <m/>
    <m/>
    <m/>
    <m/>
    <m/>
    <m/>
    <m/>
    <m/>
    <m/>
    <m/>
    <m/>
  </r>
  <r>
    <s v="UNIDAD ADMINISTRATIVA ESPECIAL MIGRACIÓN COLOMBIA"/>
    <s v="900477235-6"/>
    <s v="Secop II"/>
    <n v="82"/>
    <x v="1"/>
    <s v="20236231408000023E"/>
    <s v="SIE-010-2023"/>
    <x v="2"/>
    <x v="52"/>
    <s v="Selección Abreviada"/>
    <s v="Subasta Inversa Electrónica"/>
    <x v="10"/>
    <s v="Extensión de garantía para los servidores marca DEL"/>
    <n v="81111500"/>
    <s v="Ingeniería de software o hardware"/>
    <n v="1539604000"/>
    <n v="1409169015"/>
    <n v="30823"/>
    <s v="C-1199-1002-10-0-1199001-02"/>
    <s v="En tramite "/>
    <m/>
    <m/>
    <m/>
    <m/>
    <m/>
    <m/>
    <m/>
    <m/>
    <m/>
    <m/>
    <m/>
    <m/>
    <m/>
    <m/>
    <m/>
    <m/>
    <m/>
    <n v="123"/>
    <m/>
    <m/>
    <m/>
    <m/>
    <m/>
    <m/>
    <m/>
    <m/>
    <m/>
    <m/>
    <m/>
    <m/>
    <n v="0"/>
    <m/>
    <m/>
    <m/>
    <m/>
    <m/>
    <m/>
    <m/>
    <m/>
    <m/>
    <m/>
    <m/>
    <m/>
    <m/>
    <m/>
    <m/>
    <m/>
    <m/>
    <m/>
    <m/>
    <m/>
    <m/>
    <m/>
    <m/>
  </r>
  <r>
    <s v="UNIDAD ADMINISTRATIVA ESPECIAL MIGRACIÓN COLOMBIA"/>
    <s v="900477235-6"/>
    <s v="Secop II"/>
    <n v="231"/>
    <x v="1"/>
    <s v="20236231412000005E"/>
    <s v="LP-002-202"/>
    <x v="2"/>
    <x v="52"/>
    <s v="Licitación Pública"/>
    <s v="Licitación Pública"/>
    <x v="12"/>
    <s v="Adquisición y ampliación de pasillos automáticos Biomig para los Puestos de Control Migratorio a Nivel Nacional."/>
    <n v="32151800"/>
    <s v="Dispositivos de control de seguridad"/>
    <n v="2735217031"/>
    <n v="2735217031"/>
    <n v="28223"/>
    <s v="C-1199-1002-10-0-1199001-02"/>
    <s v="En tramite "/>
    <m/>
    <m/>
    <m/>
    <m/>
    <m/>
    <m/>
    <m/>
    <m/>
    <m/>
    <m/>
    <m/>
    <m/>
    <m/>
    <m/>
    <m/>
    <m/>
    <m/>
    <n v="123"/>
    <m/>
    <m/>
    <m/>
    <m/>
    <m/>
    <m/>
    <m/>
    <m/>
    <m/>
    <m/>
    <m/>
    <m/>
    <n v="0"/>
    <m/>
    <m/>
    <m/>
    <m/>
    <m/>
    <m/>
    <m/>
    <m/>
    <m/>
    <m/>
    <m/>
    <m/>
    <m/>
    <m/>
    <m/>
    <m/>
    <m/>
    <m/>
    <m/>
    <m/>
    <m/>
    <m/>
    <m/>
  </r>
  <r>
    <s v="UNIDAD ADMINISTRATIVA ESPECIAL MIGRACIÓN COLOMBIA"/>
    <s v="900477235-6"/>
    <s v="Secop II"/>
    <n v="276"/>
    <x v="0"/>
    <s v="20236231407000007E"/>
    <s v="SAMC-003-2023-SYF"/>
    <x v="2"/>
    <x v="52"/>
    <s v="Selección abreviada "/>
    <s v=" menor cuantía"/>
    <x v="3"/>
    <s v="CONTRATAR A TODO COSTO, INCLUYENDO MATERIALES Y MANO DE OBRA, LA ADECUACIÓN DEL PCM SAN MIGUEL REGIONAL NARIÑO"/>
    <s v="72101500;72102900;72121100;81101500"/>
    <s v="Servicios de apoyo para la construcción - Servicios de mantenimiento y reparación de instalaciones - Servicios de construcción de edificios comerciales y de oficina - Ingeniería civil y arquitectura"/>
    <n v="100000000"/>
    <n v="100000000"/>
    <n v="26323"/>
    <s v="C-1103-1002-2-0-1103001-02"/>
    <s v="En trámite"/>
    <s v="N/A"/>
    <m/>
    <m/>
    <m/>
    <m/>
    <m/>
    <m/>
    <m/>
    <m/>
    <m/>
    <m/>
    <m/>
    <m/>
    <m/>
    <m/>
    <m/>
    <m/>
    <e v="#REF!"/>
    <m/>
    <m/>
    <m/>
    <m/>
    <m/>
    <m/>
    <m/>
    <m/>
    <m/>
    <m/>
    <m/>
    <m/>
    <n v="0"/>
    <m/>
    <m/>
    <m/>
    <m/>
    <m/>
    <m/>
    <m/>
    <m/>
    <m/>
    <m/>
    <m/>
    <m/>
    <m/>
    <m/>
    <m/>
    <m/>
    <m/>
    <m/>
    <m/>
    <m/>
    <m/>
    <m/>
    <m/>
  </r>
  <r>
    <s v="UNIDAD ADMINISTRATIVA ESPECIAL MIGRACIÓN COLOMBIA"/>
    <s v="900477235-6"/>
    <s v="Secop II"/>
    <n v="255"/>
    <x v="3"/>
    <s v="20236231408000012E"/>
    <s v="SIE-004-2023"/>
    <x v="2"/>
    <x v="52"/>
    <s v="Selección abreviada "/>
    <s v="Subasta Inversa Electrónica"/>
    <x v="27"/>
    <s v="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
    <n v="84121804"/>
    <s v="Bonos emitidos por el sector privado"/>
    <n v="120000000"/>
    <n v="120000000"/>
    <n v="24923"/>
    <s v="A-02-02-01-002-008 "/>
    <s v="En trámite"/>
    <m/>
    <m/>
    <m/>
    <m/>
    <m/>
    <s v="Contrato de Suministro"/>
    <m/>
    <m/>
    <m/>
    <m/>
    <m/>
    <m/>
    <m/>
    <m/>
    <m/>
    <m/>
    <m/>
    <e v="#REF!"/>
    <m/>
    <m/>
    <m/>
    <m/>
    <m/>
    <m/>
    <m/>
    <m/>
    <m/>
    <m/>
    <m/>
    <m/>
    <n v="0"/>
    <m/>
    <m/>
    <m/>
    <m/>
    <m/>
    <m/>
    <m/>
    <m/>
    <m/>
    <m/>
    <e v="#REF!"/>
    <m/>
    <m/>
    <m/>
    <m/>
    <m/>
    <m/>
    <m/>
    <m/>
    <m/>
    <n v="0"/>
    <m/>
    <m/>
  </r>
  <r>
    <s v="UNIDAD ADMINISTRATIVA ESPECIAL MIGRACIÓN COLOMBIA"/>
    <s v="900477235-6"/>
    <s v="Secop II"/>
    <n v="259"/>
    <x v="4"/>
    <s v="20236231407000004E"/>
    <s v="MC-008-2023"/>
    <x v="2"/>
    <x v="52"/>
    <s v="minima cuantia "/>
    <s v="mantenimineto correctivo sillas ergonomicas"/>
    <x v="22"/>
    <s v="Contratar el mantenimiento correctivo para la sillas ergonómicas de los_x000a_ funcionarios de Bogotá de Migración Colombia"/>
    <s v="56112107 - 72153613"/>
    <s v="MUEBLES MOBILIARIO Y DECORACION - SERVICIO DE EDIFICACION, CONSTRUCCION, DE INSTALACIONES Y MANTENIMIENTO"/>
    <n v="20000000"/>
    <n v="20000000"/>
    <n v="24723"/>
    <s v="A-02-02-02-008-007"/>
    <s v="En tramite "/>
    <s v="N/A"/>
    <m/>
    <m/>
    <m/>
    <m/>
    <s v="minima cuantia  "/>
    <m/>
    <s v="Nivel Central"/>
    <s v="Bogotá D.C."/>
    <m/>
    <m/>
    <m/>
    <s v="N/A"/>
    <s v="NO"/>
    <m/>
    <m/>
    <m/>
    <e v="#REF!"/>
    <m/>
    <m/>
    <m/>
    <m/>
    <m/>
    <m/>
    <m/>
    <m/>
    <m/>
    <m/>
    <m/>
    <m/>
    <m/>
    <m/>
    <m/>
    <m/>
    <m/>
    <m/>
    <m/>
    <m/>
    <m/>
    <m/>
    <m/>
    <m/>
    <m/>
    <m/>
    <m/>
    <m/>
    <m/>
    <m/>
    <m/>
    <m/>
    <m/>
    <m/>
    <m/>
    <m/>
  </r>
  <r>
    <s v="UNIDAD ADMINISTRATIVA ESPECIAL MIGRACIÓN COLOMBIA"/>
    <s v="900477235-6"/>
    <s v="TVEC"/>
    <n v="137"/>
    <x v="2"/>
    <s v="20236211410000013E"/>
    <n v="147290"/>
    <x v="2"/>
    <x v="52"/>
    <s v="minima cuantia"/>
    <s v="orden de compra "/>
    <x v="23"/>
    <s v="R7 CONTRATAR EL SERVICIO INTEGRAL DE ASEO Y CAFETERIA PARA LAS SEDES: NEIVA, IBAGUÉ Y PUERTO LEGUIZAMO, REGION 7 DE LA UNIDAD ADMINISTRATIVA ESPECIAL MIGRACIÓN COLOMBIA"/>
    <n v="76111501"/>
    <s v="Servicios de limpieza y mantenimiento de edificios generales y de oficinas "/>
    <n v="72412041"/>
    <n v="72412041"/>
    <n v="28623"/>
    <s v="A-02-02-02-006-003"/>
    <s v="Celebrado"/>
    <s v="En ejecución"/>
    <m/>
    <n v="108012"/>
    <s v="ABRIL "/>
    <d v="2023-04-19T00:00:00"/>
    <s v="Prestación de Servicios de apoyo a la Gestion "/>
    <m/>
    <s v="Neiva"/>
    <s v="Ibague"/>
    <s v="INTERNEGOCIOS SAS "/>
    <n v="900240753"/>
    <n v="1"/>
    <s v="N/A"/>
    <s v="SI"/>
    <m/>
    <m/>
    <s v="N/A"/>
    <s v="N/A"/>
    <m/>
    <m/>
    <n v="66859366.390000001"/>
    <m/>
    <m/>
    <m/>
    <n v="66859366.390000001"/>
    <s v="SI"/>
    <d v="2023-04-25T00:00:00"/>
    <s v="2 CUMPLIMIENTO"/>
    <d v="2023-04-19T00:00:00"/>
    <d v="2023-12-31T00:00:00"/>
    <n v="256"/>
    <s v="CARLOS ALBERTO ARCHILA "/>
    <n v="79448817"/>
    <m/>
    <m/>
    <m/>
    <m/>
    <m/>
    <m/>
    <m/>
    <m/>
    <n v="66859366.390000001"/>
    <m/>
    <m/>
    <m/>
    <m/>
    <m/>
    <m/>
    <m/>
    <m/>
    <m/>
    <n v="256"/>
    <m/>
    <m/>
  </r>
  <r>
    <s v="UNIDAD ADMINISTRATIVA ESPECIAL MIGRACIÓN COLOMBIA"/>
    <s v="900477235-6"/>
    <s v="Secop II"/>
    <n v="83"/>
    <x v="0"/>
    <s v="20236231407000012E"/>
    <s v="MC-012-2023"/>
    <x v="3"/>
    <x v="53"/>
    <s v="Mínima cuantía"/>
    <s v="Suministro"/>
    <x v="2"/>
    <s v="CONTRATAR EL SUMINISTRO DE UNA BOLSA DE REPUESTOS PARA EQUIPOS DE COMPUTO E IMPRESIÓN. "/>
    <s v="32101601;43211706;43201803;43202222;43211708;43211719;43211711;44101706;44103004;44103125"/>
    <s v="Memoria de acceso aleatorio (ram) - Teclados - Unidades de disco duro - Cables de computador - Mouse o bola de seguimiento para computador - Micrófonos de voz para computadores - Escáneres - Unidades de fotoconductores o imágenes - Fusores - Kit de mantenimiento de impresoras"/>
    <n v="45000000"/>
    <n v="45000000"/>
    <n v="33923"/>
    <s v="C-1199-1002-10-0-1199001-02"/>
    <s v="En trámite"/>
    <s v="N/A"/>
    <m/>
    <m/>
    <m/>
    <m/>
    <m/>
    <m/>
    <m/>
    <m/>
    <m/>
    <m/>
    <m/>
    <m/>
    <m/>
    <m/>
    <m/>
    <m/>
    <m/>
    <m/>
    <m/>
    <m/>
    <m/>
    <m/>
    <m/>
    <m/>
    <m/>
    <m/>
    <m/>
    <m/>
    <m/>
    <m/>
    <m/>
    <m/>
    <m/>
    <m/>
    <m/>
    <m/>
    <m/>
    <m/>
    <m/>
    <m/>
    <m/>
    <m/>
    <m/>
    <m/>
    <m/>
    <m/>
    <m/>
    <m/>
    <m/>
    <m/>
    <m/>
    <m/>
    <m/>
  </r>
  <r>
    <s v="UNIDAD ADMINISTRATIVA ESPECIAL MIGRACIÓN COLOMBIA"/>
    <s v="900477235-6"/>
    <s v="TVEC"/>
    <n v="127"/>
    <x v="2"/>
    <s v="20236211410000016E"/>
    <n v="148368"/>
    <x v="3"/>
    <x v="44"/>
    <s v="minima cuantia"/>
    <s v="orden de compra "/>
    <x v="23"/>
    <s v="R2 CONTRATAR EL SERVICIO INTEGRAL DE ASEO Y CAFETERÍA REGIÓN 2 (CARIBE)"/>
    <n v="76111501"/>
    <s v="Servicios de limpieza y mantenimiento de edificios generales y de oficinas "/>
    <n v="189479231.19999999"/>
    <n v="189479231.19999999"/>
    <n v="28623"/>
    <s v="A-02-02-02-006-003"/>
    <s v="Celebrado"/>
    <s v="EN TRAMITE"/>
    <m/>
    <n v="108707"/>
    <s v="ABRIL "/>
    <d v="2023-04-29T00:00:00"/>
    <s v="Prestación de Servicios de apoyo a la Gestion "/>
    <m/>
    <s v="Regional Caribe"/>
    <s v="Cartagena"/>
    <s v="UT ECOLIMPIEZA 4G"/>
    <n v="901676833"/>
    <n v="8"/>
    <s v="N/A"/>
    <m/>
    <m/>
    <m/>
    <s v="N/A"/>
    <s v="N/A"/>
    <m/>
    <m/>
    <m/>
    <m/>
    <m/>
    <m/>
    <n v="0"/>
    <m/>
    <s v="PENDIENTE"/>
    <s v="2 CUMPLIMIENTO"/>
    <m/>
    <m/>
    <n v="0"/>
    <m/>
    <m/>
    <m/>
    <m/>
    <m/>
    <m/>
    <m/>
    <m/>
    <m/>
    <m/>
    <n v="0"/>
    <m/>
    <m/>
    <m/>
    <m/>
    <m/>
    <m/>
    <m/>
    <m/>
    <m/>
    <n v="0"/>
    <m/>
    <m/>
  </r>
  <r>
    <s v="UNIDAD ADMINISTRATIVA ESPECIAL MIGRACIÓN COLOMBIA"/>
    <s v="900477235-6"/>
    <s v="Secop II"/>
    <n v="171"/>
    <x v="0"/>
    <s v="20236231407000012E"/>
    <s v="MC-010-2023"/>
    <x v="3"/>
    <x v="53"/>
    <s v="Mínima cuantía"/>
    <s v="Prestación de Servicios"/>
    <x v="3"/>
    <s v="SERVICIO DE MANTENIMIENTO PREVENTIVO Y CORRECTIVO INCLUIDO REPUESTOS PARA EL PARQUE AUTOMOTOR  REGIONAL ORIENTE EN LA CIUDAD DE CÚCUTA "/>
    <n v="78181507"/>
    <s v="Reparación y mantenimiento automotor y de camiones ligeros"/>
    <n v="45000000"/>
    <n v="45000000"/>
    <n v="30923"/>
    <s v="A-02-02-02-008-007"/>
    <s v="En trámite"/>
    <s v="N/A"/>
    <m/>
    <m/>
    <m/>
    <m/>
    <m/>
    <m/>
    <m/>
    <m/>
    <m/>
    <m/>
    <m/>
    <m/>
    <m/>
    <m/>
    <m/>
    <m/>
    <m/>
    <m/>
    <m/>
    <m/>
    <m/>
    <m/>
    <m/>
    <m/>
    <m/>
    <m/>
    <m/>
    <m/>
    <m/>
    <m/>
    <m/>
    <m/>
    <m/>
    <m/>
    <m/>
    <m/>
    <m/>
    <m/>
    <m/>
    <m/>
    <m/>
    <m/>
    <m/>
    <m/>
    <m/>
    <m/>
    <m/>
    <m/>
    <m/>
    <m/>
    <m/>
    <m/>
    <m/>
  </r>
  <r>
    <s v="UNIDAD ADMINISTRATIVA ESPECIAL MIGRACIÓN COLOMBIA"/>
    <s v="900477235-6"/>
    <s v="Secop II"/>
    <n v="173"/>
    <x v="0"/>
    <s v="20236231407000024E"/>
    <s v="MC-011-2023"/>
    <x v="3"/>
    <x v="53"/>
    <s v="Mínima cuantía"/>
    <s v="Prestación de Servicios"/>
    <x v="3"/>
    <s v="SERVICIO DE MANTENIMIENTO PREVENTIVO Y CORRECTIVO INCLUIDO REPUESTOS PARA EL PARQUE AUTOMOTOR DE LA  REGIONAL ATLÁNTICO"/>
    <n v="78181507"/>
    <s v="Reparación y mantenimiento automotor y de camiones ligeros"/>
    <n v="20000000"/>
    <n v="20000000"/>
    <n v="34123"/>
    <s v="A-02-02-02-008-007"/>
    <s v="En trámite"/>
    <s v="N/A"/>
    <m/>
    <m/>
    <m/>
    <m/>
    <m/>
    <m/>
    <m/>
    <m/>
    <m/>
    <m/>
    <m/>
    <m/>
    <m/>
    <m/>
    <m/>
    <m/>
    <m/>
    <m/>
    <m/>
    <m/>
    <m/>
    <m/>
    <m/>
    <m/>
    <m/>
    <m/>
    <m/>
    <m/>
    <m/>
    <m/>
    <m/>
    <m/>
    <m/>
    <m/>
    <m/>
    <m/>
    <m/>
    <m/>
    <m/>
    <m/>
    <m/>
    <m/>
    <m/>
    <m/>
    <m/>
    <m/>
    <m/>
    <m/>
    <m/>
    <m/>
    <m/>
    <m/>
    <m/>
  </r>
  <r>
    <s v="UNIDAD ADMINISTRATIVA ESPECIAL MIGRACIÓN COLOMBIA"/>
    <s v="900477235-6"/>
    <s v="Secop II"/>
    <n v="196"/>
    <x v="5"/>
    <s v="20236231407000019E "/>
    <s v="MC-013-2023"/>
    <x v="3"/>
    <x v="54"/>
    <s v="Mínima cuantía"/>
    <s v="Mínima cuantía"/>
    <x v="28"/>
    <s v="CONTRATAR EL SUMINISTRO DE COMBUSTIBLE PARQUE AUTOMOTOR Y PLANTAS ELÉCTRICAS REGIONAL SAN ANDRES Y PROVIDENCIA "/>
    <n v="15101505"/>
    <s v="Combustible diésel "/>
    <n v="5000000"/>
    <n v="5000000"/>
    <n v="35623"/>
    <s v="A-02-02-01-003-003"/>
    <s v="En trámite "/>
    <s v="En trámite "/>
    <m/>
    <m/>
    <m/>
    <m/>
    <m/>
    <m/>
    <m/>
    <m/>
    <m/>
    <m/>
    <m/>
    <m/>
    <m/>
    <m/>
    <m/>
    <m/>
    <m/>
    <m/>
    <m/>
    <m/>
    <m/>
    <m/>
    <m/>
    <m/>
    <m/>
    <m/>
    <m/>
    <m/>
    <m/>
    <m/>
    <m/>
    <m/>
    <m/>
    <m/>
    <m/>
    <m/>
    <m/>
    <m/>
    <m/>
    <m/>
    <m/>
    <m/>
    <m/>
    <m/>
    <m/>
    <m/>
    <m/>
    <m/>
    <m/>
    <m/>
    <m/>
    <m/>
    <m/>
  </r>
  <r>
    <s v="UNIDAD ADMINISTRATIVA ESPECIAL MIGRACIÓN COLOMBIA"/>
    <s v="900477235-6"/>
    <s v="Secop II"/>
    <n v="203"/>
    <x v="5"/>
    <s v="20236231415000015E "/>
    <s v="PCD-116-2023"/>
    <x v="3"/>
    <x v="55"/>
    <s v="Contratación Directa "/>
    <s v="Interadministrativo "/>
    <x v="28"/>
    <s v="PRESTAR EL SERVICIO DE ADMINISTRACIÓN, CUSTODIA, DIGITALIZACIÓN, ORGANIZACIÓN DE ARCHIVOS ASÍ COMO LA VERIFICACIÓN DE INVENTARIOS DOCUMENTALES, ELIMINACIÓN DOCUMENTAL y SANEAMIENTO AMBIENTAL DE LA UAEMC."/>
    <n v="78131602"/>
    <s v="Almacenaje de archivos de carpeta"/>
    <n v="1572376400"/>
    <n v="1250609235"/>
    <n v="29323"/>
    <s v="C-1199-1002-8-0-1199003-02; C-1199-1002-8-0-1199018-02"/>
    <s v="Celebrado"/>
    <s v="En ejecución "/>
    <m/>
    <s v="CO-120-2023"/>
    <s v="ABRIL "/>
    <d v="2023-04-27T00:00:00"/>
    <s v="Interadministrativo "/>
    <m/>
    <s v="Nivel Central"/>
    <s v="Bogotá D.C. "/>
    <s v="ARCHIVOS DEL ESTADO Y TECNOLOGIAS DE LA INFORMACION SAS "/>
    <s v="901.244.985-5"/>
    <m/>
    <m/>
    <m/>
    <m/>
    <m/>
    <m/>
    <m/>
    <n v="78923"/>
    <d v="2023-04-28T00:00:00"/>
    <n v="1250609235"/>
    <m/>
    <m/>
    <m/>
    <n v="1250609235"/>
    <s v="SI"/>
    <d v="2023-05-04T00:00:00"/>
    <s v="CUMPLIMIENTO/SALARIOS/CALIDAD DEL SERVICIO"/>
    <d v="2023-05-04T00:00:00"/>
    <d v="2023-12-31T00:00:00"/>
    <n v="240"/>
    <s v="ILVIS PATRICIA BORNACELLY "/>
    <n v="36551065"/>
    <m/>
    <m/>
    <m/>
    <m/>
    <m/>
    <m/>
    <m/>
    <m/>
    <n v="1250609235"/>
    <m/>
    <m/>
    <m/>
    <m/>
    <m/>
    <m/>
    <m/>
    <m/>
    <m/>
    <m/>
    <m/>
    <m/>
  </r>
  <r>
    <s v="UNIDAD ADMINISTRATIVA ESPECIAL MIGRACIÓN COLOMBIA"/>
    <s v="900477235-6"/>
    <s v="Secop II"/>
    <n v="229"/>
    <x v="1"/>
    <s v="20236231415000012E"/>
    <s v="PCD-119-2023"/>
    <x v="3"/>
    <x v="53"/>
    <s v="Contratación Directa"/>
    <s v="Exclusividad"/>
    <x v="12"/>
    <s v="Servicio de mantenimiento preventivo y correctivo para los equipos de grafología video comparadores, con bolsa de repuestos."/>
    <n v="72151704"/>
    <s v="Servicio de instalación y mantenimiento de sistemas instrumentados de seguridad"/>
    <n v="25000000"/>
    <n v="25000000"/>
    <n v="28323"/>
    <s v="C-1199-1002-10-0-1199001-02"/>
    <s v="En tramite "/>
    <m/>
    <m/>
    <m/>
    <m/>
    <m/>
    <m/>
    <m/>
    <m/>
    <m/>
    <m/>
    <m/>
    <m/>
    <m/>
    <m/>
    <m/>
    <m/>
    <m/>
    <m/>
    <m/>
    <m/>
    <m/>
    <m/>
    <m/>
    <m/>
    <m/>
    <m/>
    <m/>
    <m/>
    <m/>
    <m/>
    <m/>
    <m/>
    <m/>
    <m/>
    <m/>
    <m/>
    <m/>
    <m/>
    <m/>
    <m/>
    <m/>
    <m/>
    <m/>
    <m/>
    <m/>
    <m/>
    <m/>
    <m/>
    <m/>
    <m/>
    <m/>
    <m/>
    <m/>
    <m/>
  </r>
  <r>
    <s v="UNIDAD ADMINISTRATIVA ESPECIAL MIGRACIÓN COLOMBIA"/>
    <s v="900477235-6"/>
    <s v="Secop II"/>
    <n v="234"/>
    <x v="1"/>
    <s v="20233021408000001E"/>
    <s v="SIE-011-2023"/>
    <x v="3"/>
    <x v="56"/>
    <s v="Selección Abreviada"/>
    <s v="Subasta Inversa Electrónica"/>
    <x v="12"/>
    <s v="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81102700"/>
    <s v="Servicios de diseño e ingeniería de sistemas instrumentados de control"/>
    <n v="2547493939"/>
    <n v="2547493939"/>
    <m/>
    <m/>
    <s v="En tramite "/>
    <m/>
    <m/>
    <m/>
    <m/>
    <m/>
    <m/>
    <m/>
    <m/>
    <m/>
    <m/>
    <m/>
    <m/>
    <m/>
    <m/>
    <m/>
    <m/>
    <m/>
    <m/>
    <m/>
    <m/>
    <m/>
    <m/>
    <m/>
    <m/>
    <m/>
    <m/>
    <m/>
    <m/>
    <m/>
    <m/>
    <m/>
    <m/>
    <m/>
    <m/>
    <m/>
    <m/>
    <m/>
    <m/>
    <m/>
    <m/>
    <m/>
    <m/>
    <m/>
    <m/>
    <m/>
    <m/>
    <m/>
    <m/>
    <m/>
    <m/>
    <m/>
    <m/>
    <m/>
    <m/>
  </r>
  <r>
    <s v="UNIDAD ADMINISTRATIVA ESPECIAL MIGRACIÓN COLOMBIA"/>
    <s v="900477235-6"/>
    <s v="Secop II"/>
    <n v="240"/>
    <x v="1"/>
    <s v="20236231408000025E"/>
    <s v="SAMC-006-2023"/>
    <x v="3"/>
    <x v="54"/>
    <s v="Selección Abreviada"/>
    <s v="Menor Cuantia"/>
    <x v="22"/>
    <s v="Contratar los servicios profesionales para la creación de contenidos virtuales para la plataforma de Migración Colombia."/>
    <n v="86101808"/>
    <s v="Servicios de formación de recursos humanos para el sector publico"/>
    <n v="100000000"/>
    <n v="100000000"/>
    <n v="29423"/>
    <s v="C-1199-1002-9-0-1199005-02"/>
    <s v="En tramite "/>
    <m/>
    <m/>
    <m/>
    <m/>
    <m/>
    <m/>
    <m/>
    <m/>
    <m/>
    <m/>
    <m/>
    <m/>
    <m/>
    <m/>
    <m/>
    <m/>
    <m/>
    <m/>
    <m/>
    <m/>
    <m/>
    <m/>
    <m/>
    <m/>
    <m/>
    <m/>
    <m/>
    <m/>
    <m/>
    <m/>
    <m/>
    <m/>
    <m/>
    <m/>
    <m/>
    <m/>
    <m/>
    <m/>
    <m/>
    <m/>
    <m/>
    <m/>
    <m/>
    <m/>
    <m/>
    <m/>
    <m/>
    <m/>
    <m/>
    <m/>
    <m/>
    <m/>
    <m/>
    <m/>
  </r>
  <r>
    <s v="UNIDAD ADMINISTRATIVA ESPECIAL MIGRACIÓN COLOMBIA"/>
    <s v="900477235-6"/>
    <s v="Secop II"/>
    <n v="248"/>
    <x v="0"/>
    <s v="20236231416000006E"/>
    <s v="PCD-114-2023-9TH"/>
    <x v="3"/>
    <x v="57"/>
    <s v="Contratación Directa"/>
    <s v="Interadministrativo"/>
    <x v="24"/>
    <s v="CONTRATAR LOS SERVICIOS PROFESIONALES PARA LA REALIZACIÓN DE ACCIONES DE FORMACIÓN EN DIFERENTES CONTENIDOS TEMÁTICOS A FIN DE LLEVAR A CABO CAPACITACIONES PARA LOS FUNCIONARIOS DE MIGRACIÓN COLOMBIA A NIVEL NACIONAL"/>
    <s v="86111600;86111500"/>
    <s v="Educación de adultos - Servicios de aprendizaje a distancia"/>
    <n v="600000000"/>
    <n v="431410000"/>
    <n v="29523"/>
    <s v="C-1199-1002-9-0-1199005-02"/>
    <s v="En trámite"/>
    <s v="N/A"/>
    <m/>
    <m/>
    <m/>
    <m/>
    <m/>
    <m/>
    <m/>
    <m/>
    <m/>
    <m/>
    <m/>
    <m/>
    <m/>
    <m/>
    <m/>
    <m/>
    <m/>
    <m/>
    <m/>
    <m/>
    <m/>
    <m/>
    <m/>
    <m/>
    <m/>
    <m/>
    <m/>
    <m/>
    <m/>
    <m/>
    <m/>
    <m/>
    <m/>
    <m/>
    <m/>
    <m/>
    <m/>
    <m/>
    <m/>
    <m/>
    <m/>
    <m/>
    <m/>
    <m/>
    <m/>
    <m/>
    <m/>
    <m/>
    <m/>
    <m/>
    <m/>
    <m/>
    <m/>
  </r>
  <r>
    <s v="UNIDAD ADMINISTRATIVA ESPECIAL MIGRACIÓN COLOMBIA"/>
    <s v="900477235-6"/>
    <s v="Secop II"/>
    <n v="256"/>
    <x v="1"/>
    <s v="20236231420000002E"/>
    <s v="SABP-002-2023"/>
    <x v="3"/>
    <x v="54"/>
    <s v="Selección Abreviada"/>
    <s v="Bolsa de Productos"/>
    <x v="22"/>
    <s v="SUMINISTRAR A NIVEL NACIONAL LOS UNIFORMES A LOS FUNCIONARIOS DE LA UNIDAD ADMINISTRATIVA ESPECIAL MIGRACIÓN COLOMBIA QUE LLEVAN A CABO LABORES MISIONALES, CORRESPONDIENTE A LA VIGENCIA.”"/>
    <n v="53101502"/>
    <s v="Pantalones largos o cortos o pantalonetas para hombre"/>
    <n v="850000000"/>
    <n v="850000000"/>
    <n v="35023"/>
    <s v="A-02-02-01-002-008"/>
    <s v="En tramite "/>
    <m/>
    <m/>
    <m/>
    <m/>
    <m/>
    <m/>
    <m/>
    <m/>
    <m/>
    <m/>
    <m/>
    <m/>
    <m/>
    <m/>
    <m/>
    <m/>
    <m/>
    <m/>
    <m/>
    <m/>
    <m/>
    <m/>
    <m/>
    <m/>
    <m/>
    <m/>
    <m/>
    <m/>
    <m/>
    <m/>
    <m/>
    <m/>
    <m/>
    <m/>
    <m/>
    <m/>
    <m/>
    <m/>
    <m/>
    <m/>
    <m/>
    <m/>
    <m/>
    <m/>
    <m/>
    <m/>
    <m/>
    <m/>
    <m/>
    <m/>
    <m/>
    <m/>
    <m/>
    <m/>
  </r>
  <r>
    <s v="UNIDAD ADMINISTRATIVA ESPECIAL MIGRACIÓN COLOMBIA"/>
    <s v="900477235-6"/>
    <s v="TVEC"/>
    <n v="262"/>
    <x v="2"/>
    <s v="20236231410000025E"/>
    <n v="185513"/>
    <x v="3"/>
    <x v="58"/>
    <s v="minima cuantia"/>
    <s v="orden de compra "/>
    <x v="15"/>
    <s v="CONTRATAR LA ADQUISICIÓN DE ELEMENTOS PARA PREVENCIÓN DE RIESGO ERGONÓMICO"/>
    <n v="46182205"/>
    <s v="Descansapies"/>
    <n v="20000000"/>
    <n v="20000000"/>
    <n v="35223"/>
    <s v="A-02-02-01-003-008"/>
    <s v="Celebrado"/>
    <s v="En ejecución"/>
    <m/>
    <n v="108244"/>
    <s v="ABRIL "/>
    <d v="2033-04-24T00:00:00"/>
    <s v="Compraventa"/>
    <m/>
    <s v="Nivel Central"/>
    <s v="Bogotá D.C."/>
    <s v="JAIME BELTRAN URIBE"/>
    <n v="10125834"/>
    <n v="1"/>
    <s v="N/A"/>
    <m/>
    <m/>
    <m/>
    <s v="N/A"/>
    <s v="N/A"/>
    <n v="75823"/>
    <d v="2023-04-24T00:00:00"/>
    <n v="10043300"/>
    <m/>
    <m/>
    <m/>
    <n v="10043300"/>
    <s v="NO"/>
    <m/>
    <s v="N/A"/>
    <d v="2023-04-24T00:00:00"/>
    <d v="2023-05-22T00:00:00"/>
    <n v="28"/>
    <s v="ANGY ACOCHA ARISTIZABAL "/>
    <n v="52813239"/>
    <m/>
    <m/>
    <m/>
    <m/>
    <m/>
    <m/>
    <m/>
    <m/>
    <n v="10043300"/>
    <m/>
    <m/>
    <m/>
    <m/>
    <m/>
    <m/>
    <m/>
    <m/>
    <m/>
    <n v="28"/>
    <m/>
    <m/>
  </r>
  <r>
    <s v="UNIDAD ADMINISTRATIVA ESPECIAL MIGRACIÓN COLOMBIA"/>
    <s v="900477235-6"/>
    <s v="TVEC"/>
    <n v="262"/>
    <x v="2"/>
    <s v="20236231409000001E"/>
    <n v="105794"/>
    <x v="3"/>
    <x v="58"/>
    <s v="minima cuantia"/>
    <s v="orden de compra "/>
    <x v="15"/>
    <s v="CONTRATAR LA ADQUISICIÓN DE ELEMENTOS PARA PREVENCIÓN DE RIESGO ERGONÓMICO"/>
    <n v="46182205"/>
    <s v="Descansapies"/>
    <n v="20000000"/>
    <n v="20000000"/>
    <n v="35223"/>
    <s v="A-02-02-01-003-008"/>
    <s v="Celebrado"/>
    <s v="En ejecución"/>
    <m/>
    <n v="108175"/>
    <s v="ABRIL "/>
    <d v="2023-04-25T00:00:00"/>
    <s v="Compraventa"/>
    <m/>
    <s v="Nivel Central"/>
    <s v="Bogotá D.C."/>
    <s v="PANAMERICANA LIBRERÍA Y PAPELERÍA S.A."/>
    <n v="830037946"/>
    <n v="3"/>
    <s v="N/A"/>
    <m/>
    <m/>
    <m/>
    <s v="N/A"/>
    <s v="N/A"/>
    <n v="75223"/>
    <d v="2023-04-21T00:00:00"/>
    <n v="9871050"/>
    <m/>
    <m/>
    <m/>
    <n v="9871050"/>
    <s v="NO"/>
    <m/>
    <s v="N/A"/>
    <d v="2023-04-21T00:00:00"/>
    <d v="2023-05-22T00:00:00"/>
    <n v="31"/>
    <s v="ANGY ACOCHA ARISTIZABAL "/>
    <n v="52813239"/>
    <m/>
    <m/>
    <m/>
    <m/>
    <m/>
    <m/>
    <m/>
    <m/>
    <n v="9871050"/>
    <m/>
    <m/>
    <m/>
    <m/>
    <m/>
    <m/>
    <m/>
    <m/>
    <m/>
    <n v="31"/>
    <m/>
    <m/>
  </r>
  <r>
    <s v="UNIDAD ADMINISTRATIVA ESPECIAL MIGRACIÓN COLOMBIA"/>
    <s v="900477235-6"/>
    <s v="TVEC"/>
    <n v="264"/>
    <x v="2"/>
    <s v="20236231410000026E"/>
    <n v="184237"/>
    <x v="3"/>
    <x v="58"/>
    <s v="minima cuantia"/>
    <s v="orden de compra "/>
    <x v="15"/>
    <s v="CONTRATAR LA ADQUISICIÓN DE ELEMENTOS DE PROTECCIÓN PERSONAL E INDIVIDUAL (ELEMENTOS DE PROTECCIÓN  (CHALECOS REFLECTIVOS, GAFAS, PROTECTORES AUDITIVOS)) PARA LOS FUNCIONARIOS QUE REALIZAN OTRAS ACTIVIDADES MISIONALES, TENIENDO EN CUENTA LO CONTEMPLADO POR SALUD OCUPACIONAL."/>
    <n v="42171912"/>
    <s v="Estuches o bolsas o accesorios de primeros auxilios para servicios médicos de emergencia"/>
    <n v="10000000"/>
    <n v="10000000"/>
    <n v="26923"/>
    <s v="A-02-02-01-003-005"/>
    <s v="Celebrado"/>
    <s v="En ejecución"/>
    <m/>
    <n v="108171"/>
    <s v="ABRIL "/>
    <d v="2023-04-21T00:00:00"/>
    <s v="Compraventa"/>
    <m/>
    <s v="Nivel Central"/>
    <s v="Bogotá D.C."/>
    <s v="CENCOSUD COLOMBIA S.A."/>
    <n v="900155107"/>
    <n v="1"/>
    <s v="N/A"/>
    <m/>
    <m/>
    <m/>
    <s v="N/A"/>
    <s v="N/A"/>
    <n v="75423"/>
    <d v="2023-04-24T00:00:00"/>
    <n v="9998150"/>
    <m/>
    <m/>
    <m/>
    <n v="9998150"/>
    <s v="NO"/>
    <m/>
    <s v="N/A"/>
    <d v="2023-04-21T00:00:00"/>
    <d v="2023-07-21T00:00:00"/>
    <n v="91"/>
    <s v="RUBY VILLARRAGA BELLO"/>
    <n v="52665963"/>
    <m/>
    <m/>
    <m/>
    <m/>
    <m/>
    <m/>
    <m/>
    <m/>
    <n v="9998150"/>
    <m/>
    <m/>
    <m/>
    <m/>
    <m/>
    <m/>
    <m/>
    <m/>
    <m/>
    <n v="91"/>
    <m/>
    <m/>
  </r>
  <r>
    <s v="UNIDAD ADMINISTRATIVA ESPECIAL MIGRACIÓN COLOMBIA"/>
    <s v="900477235-6"/>
    <s v="Secop II"/>
    <n v="284"/>
    <x v="5"/>
    <s v="20236141413000001E "/>
    <s v="PCD-115-2023"/>
    <x v="3"/>
    <x v="55"/>
    <s v="Contratación Directa "/>
    <s v="Prestación de Servicios Profesionales "/>
    <x v="29"/>
    <s v="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
    <n v="80161504"/>
    <s v="Servicios de Oficina"/>
    <n v="42500000"/>
    <n v="42500000"/>
    <n v="32423"/>
    <s v="C-1199-1002-10-0-1199001-02"/>
    <s v="Celebrado"/>
    <s v="En ejecución "/>
    <m/>
    <s v="CO-114-2023"/>
    <s v="Abril"/>
    <d v="2023-04-24T00:00:00"/>
    <s v="Prestación de Servicios Profesionales "/>
    <m/>
    <s v="Nivel Central"/>
    <s v="Bogotá D.C. "/>
    <s v="NORMA PATRICIA SANCHEZ CUBIDES"/>
    <n v="52350202"/>
    <m/>
    <s v="INGENIERA COMERCIAL "/>
    <m/>
    <m/>
    <m/>
    <d v="1978-01-10T00:00:00"/>
    <n v="45"/>
    <n v="76123"/>
    <d v="2023-04-25T00:00:00"/>
    <n v="42500000"/>
    <m/>
    <m/>
    <m/>
    <n v="42500000"/>
    <s v="SI"/>
    <d v="2023-04-25T00:00:00"/>
    <s v="CUMPLIMIENTO"/>
    <d v="2023-04-24T00:00:00"/>
    <d v="2023-12-31T00:00:00"/>
    <n v="246"/>
    <s v="MARCELA LARA TORO "/>
    <n v="52544180"/>
    <m/>
    <m/>
    <m/>
    <m/>
    <m/>
    <m/>
    <m/>
    <m/>
    <n v="42500000"/>
    <m/>
    <m/>
    <m/>
    <m/>
    <m/>
    <m/>
    <m/>
    <m/>
    <m/>
    <m/>
    <m/>
    <m/>
  </r>
  <r>
    <s v="UNIDAD ADMINISTRATIVA ESPECIAL MIGRACIÓN COLOMBIA"/>
    <s v="900477235-6"/>
    <s v="Secop II"/>
    <n v="286"/>
    <x v="1"/>
    <s v="20236231408000027E"/>
    <s v="SAM-007-2023"/>
    <x v="3"/>
    <x v="54"/>
    <s v="Selección Abreviada"/>
    <s v="Menor Cuantia"/>
    <x v="3"/>
    <s v="Contratar a todo costo incluyendo materiales y mano de obra, la adecuación del CFSM Maicao de la Regional Guajira."/>
    <n v="72101500"/>
    <s v="Servicios de apoyo para la construcción"/>
    <n v="300000000"/>
    <n v="269800000"/>
    <n v="32823"/>
    <s v="C-1103-1002-2-0-1103002-02"/>
    <s v="En tramite "/>
    <m/>
    <m/>
    <m/>
    <m/>
    <m/>
    <m/>
    <m/>
    <m/>
    <m/>
    <m/>
    <m/>
    <m/>
    <m/>
    <m/>
    <m/>
    <m/>
    <m/>
    <m/>
    <m/>
    <m/>
    <m/>
    <m/>
    <m/>
    <m/>
    <m/>
    <m/>
    <m/>
    <m/>
    <m/>
    <m/>
    <m/>
    <m/>
    <m/>
    <m/>
    <m/>
    <m/>
    <m/>
    <m/>
    <m/>
    <m/>
    <m/>
    <m/>
    <m/>
    <m/>
    <m/>
    <m/>
    <m/>
    <m/>
    <m/>
    <m/>
    <m/>
    <m/>
    <m/>
    <m/>
  </r>
  <r>
    <s v="UNIDAD ADMINISTRATIVA ESPECIAL MIGRACIÓN COLOMBIA"/>
    <s v="900477235-6"/>
    <s v="Secop II"/>
    <n v="287"/>
    <x v="5"/>
    <s v="20232501413000025E "/>
    <s v="PCD-117-2023"/>
    <x v="3"/>
    <x v="55"/>
    <s v="Contratación Directa "/>
    <s v="Prestación de Servicios Profesionales "/>
    <x v="30"/>
    <s v="PRESTAR SERVICIOS PROFESIONALES A LA OFICINA DE TECNOLOGÍA DE LA INFORMACIÓN, PARA EL SEGUIMIENTO Y MANTENIMIENTO AL SISTEMA DE GESTIÓN DE LA SEGURIDAD DE LA INFORMACIÓN (SGSI) Y DEMÁS DOMINIOS DE ARQUITECTURA EMPRESARIAL DE MIGRACIÓN COLOMBIA"/>
    <n v="811115"/>
    <s v="Ingenieria de oftware y hardware "/>
    <n v="85000000"/>
    <n v="85000000"/>
    <n v="32623"/>
    <s v="C-1199-1002-10-0-1199001-02"/>
    <s v="Celebrado"/>
    <s v="En ejecución "/>
    <m/>
    <s v="CO-115-2023"/>
    <s v="Abril"/>
    <d v="2023-04-25T00:00:00"/>
    <s v="Prestación de Servicios Profesionales "/>
    <m/>
    <s v="Nivel Central"/>
    <s v="Bogotá D.C. "/>
    <s v="ISIS JOHANNA GOMEZ PERALTA "/>
    <n v="53165790"/>
    <m/>
    <s v="INGENIERA DE SISTEMAS "/>
    <m/>
    <m/>
    <m/>
    <d v="1985-04-08T00:00:00"/>
    <n v="38"/>
    <n v="76723"/>
    <d v="2023-04-25T00:00:00"/>
    <n v="85000000"/>
    <m/>
    <m/>
    <m/>
    <n v="85000000"/>
    <s v="SI"/>
    <d v="2023-04-25T00:00:00"/>
    <s v="CUMPLIMIENTO"/>
    <d v="2023-04-25T00:00:00"/>
    <d v="2023-12-31T00:00:00"/>
    <n v="246"/>
    <s v="DIEGO EMILIO OJEDA MONCAYO "/>
    <n v="19498970"/>
    <m/>
    <m/>
    <m/>
    <m/>
    <m/>
    <m/>
    <m/>
    <m/>
    <n v="85000000"/>
    <m/>
    <m/>
    <m/>
    <m/>
    <m/>
    <m/>
    <m/>
    <m/>
    <m/>
    <m/>
    <m/>
    <m/>
  </r>
  <r>
    <s v="UNIDAD ADMINISTRATIVA ESPECIAL MIGRACIÓN COLOMBIA"/>
    <s v="900477235-6"/>
    <s v="Secop II"/>
    <n v="288"/>
    <x v="5"/>
    <s v="20236231416000011E "/>
    <s v="PCD-118-2023"/>
    <x v="3"/>
    <x v="54"/>
    <s v="Contratación Directa "/>
    <s v="Interadministrativo "/>
    <x v="29"/>
    <s v="CONTRATAR LA REALIZACIÓN DE ACCIONES DE FORMACIÓN ATENDIENDO LA SOLICITUD DE LAS OFICINAS : TECNOLOGIAS DE LA INFORMACION Y COMUNICACIONES, DIRIGIDO A FUNCIONARIOS DE MIGRACIÓN COLOMBIA"/>
    <n v="861116"/>
    <s v="Educación Adultos "/>
    <n v="200000000"/>
    <n v="195267045"/>
    <n v="33723"/>
    <s v="C-1199-1002-9-0-1199005-02"/>
    <s v="En trámite "/>
    <s v="En trámite "/>
    <m/>
    <m/>
    <m/>
    <m/>
    <m/>
    <m/>
    <m/>
    <m/>
    <m/>
    <m/>
    <m/>
    <m/>
    <m/>
    <m/>
    <m/>
    <m/>
    <m/>
    <m/>
    <m/>
    <m/>
    <m/>
    <m/>
    <m/>
    <m/>
    <m/>
    <m/>
    <m/>
    <m/>
    <m/>
    <m/>
    <m/>
    <m/>
    <m/>
    <m/>
    <m/>
    <m/>
    <m/>
    <m/>
    <m/>
    <m/>
    <m/>
    <m/>
    <m/>
    <m/>
    <m/>
    <m/>
    <m/>
    <m/>
    <m/>
    <m/>
    <m/>
    <m/>
    <m/>
  </r>
  <r>
    <s v="UNIDAD ADMINISTRATIVA ESPECIAL MIGRACIÓN COLOMBIA"/>
    <s v="900477235-6"/>
    <s v="TVEC"/>
    <n v="297"/>
    <x v="2"/>
    <s v="20236211410000017E"/>
    <n v="148807"/>
    <x v="3"/>
    <x v="59"/>
    <s v="minima cuantia"/>
    <s v="orden de compra "/>
    <x v="23"/>
    <s v="R16 CONTRATAR EL SERVICIO INTEGRAL DE ASEO Y CAFETERIA PARA LA SEDE 1: CFSM PUERTO CARREÑO. REGION 16 DE LA UNIDAD ADMINISTRATIVA ESPECIAL MIGRACIÓN COLOMBIA"/>
    <n v="76111501"/>
    <s v="Servicios de limpieza y mantenimiento de edificios generales y de oficinas "/>
    <n v="28203631.800000001"/>
    <n v="28203631.800000001"/>
    <n v="28623"/>
    <s v="A-02-02-02-006-003"/>
    <s v="En trámite "/>
    <m/>
    <m/>
    <m/>
    <m/>
    <m/>
    <m/>
    <m/>
    <m/>
    <m/>
    <m/>
    <m/>
    <m/>
    <m/>
    <m/>
    <m/>
    <m/>
    <s v="N/A"/>
    <s v="N/A"/>
    <m/>
    <m/>
    <s v="PUBLICADO CIERRE SOL RFI EL 25 DE ABRIL "/>
    <m/>
    <m/>
    <m/>
    <e v="#VALUE!"/>
    <m/>
    <s v="PENDIENTE"/>
    <s v="2 CUMPLIMIENTO"/>
    <m/>
    <m/>
    <n v="0"/>
    <m/>
    <m/>
    <m/>
    <m/>
    <m/>
    <m/>
    <m/>
    <m/>
    <m/>
    <m/>
    <e v="#VALUE!"/>
    <m/>
    <m/>
    <m/>
    <m/>
    <m/>
    <m/>
    <m/>
    <m/>
    <m/>
    <n v="0"/>
    <m/>
    <m/>
  </r>
  <r>
    <s v="UNIDAD ADMINISTRATIVA ESPECIAL MIGRACIÓN COLOMBIA"/>
    <s v="900477235-6"/>
    <s v="TVEC"/>
    <n v="134"/>
    <x v="2"/>
    <s v="20236211410000018E"/>
    <n v="149238"/>
    <x v="3"/>
    <x v="55"/>
    <s v="minima cuantia"/>
    <s v="orden de compra "/>
    <x v="23"/>
    <s v="R6 CONTRATAR EL SERVICIO INTEGRAL DE ASEO Y CAFETERIA REGION 6 (NARIÑO)"/>
    <n v="76111501"/>
    <s v="Servicios de limpieza y mantenimiento de edificios generales y de oficinas "/>
    <n v="157457711.08000001"/>
    <n v="157457711.08000001"/>
    <n v="28623"/>
    <s v="A-02-02-02-006-003"/>
    <s v="En trámite "/>
    <m/>
    <m/>
    <m/>
    <m/>
    <m/>
    <m/>
    <m/>
    <m/>
    <m/>
    <m/>
    <m/>
    <m/>
    <m/>
    <m/>
    <m/>
    <m/>
    <s v="N/A"/>
    <s v="N/A"/>
    <m/>
    <m/>
    <s v="PUBLICADO CIERRE SOL RFI EL 27 DE ABRIL "/>
    <m/>
    <m/>
    <m/>
    <e v="#VALUE!"/>
    <m/>
    <s v="PENDIENTE"/>
    <s v="2 CUMPLIMIENTO"/>
    <m/>
    <m/>
    <n v="0"/>
    <m/>
    <m/>
    <m/>
    <m/>
    <m/>
    <m/>
    <m/>
    <m/>
    <m/>
    <m/>
    <m/>
    <m/>
    <m/>
    <m/>
    <m/>
    <m/>
    <m/>
    <m/>
    <m/>
    <m/>
    <n v="0"/>
    <m/>
    <m/>
  </r>
  <r>
    <s v="UNIDAD ADMINISTRATIVA ESPECIAL MIGRACIÓN COLOMBIA"/>
    <s v="900477235-6"/>
    <s v="Secop II"/>
    <n v="183"/>
    <x v="3"/>
    <s v="20236231407000016E"/>
    <s v="SAMC-005-2023"/>
    <x v="3"/>
    <x v="60"/>
    <s v="Selección Abreviada - Menor Cuantía"/>
    <m/>
    <x v="3"/>
    <s v="Contratar el servicio de mantenimiento preventivo y correctivo incluido repuesto para el parque automotor ubicado en Bogotá y Regional Andina sedes Tunja, Ibagué y Neiva.  "/>
    <n v="78181507"/>
    <s v="Reparación y mantenimiento automotor y de camiones ligeros"/>
    <n v="190000000"/>
    <n v="190000000"/>
    <n v="31423"/>
    <s v="A-02-02-02-008-007"/>
    <s v="En trámite"/>
    <m/>
    <m/>
    <m/>
    <m/>
    <m/>
    <m/>
    <m/>
    <m/>
    <m/>
    <m/>
    <m/>
    <m/>
    <m/>
    <m/>
    <m/>
    <m/>
    <m/>
    <m/>
    <m/>
    <m/>
    <m/>
    <m/>
    <m/>
    <m/>
    <m/>
    <m/>
    <m/>
    <m/>
    <m/>
    <m/>
    <m/>
    <m/>
    <m/>
    <m/>
    <m/>
    <m/>
    <m/>
    <m/>
    <m/>
    <m/>
    <m/>
    <m/>
    <m/>
    <m/>
    <m/>
    <m/>
    <m/>
    <m/>
    <m/>
    <m/>
    <m/>
    <m/>
    <m/>
    <m/>
  </r>
  <r>
    <s v="UNIDAD ADMINISTRATIVA ESPECIAL MIGRACIÓN COLOMBIA"/>
    <s v="900477235-6"/>
    <s v="Secop II"/>
    <n v="76"/>
    <x v="3"/>
    <s v="20236231408000015E"/>
    <s v="SIE-012-2023"/>
    <x v="3"/>
    <x v="54"/>
    <s v="Selección Abreviada - Subasta Inversa Electrónica o Presencial "/>
    <m/>
    <x v="31"/>
    <s v="Adquirir renovación, actualización y soporte del licenciamiento Aranda y servicios asociados saas."/>
    <s v="43231500 - 43231501 - 81111800 - 81112200 - 43232300 - 43232600"/>
    <s v="Software de Mesa de ayuda"/>
    <n v="300000000"/>
    <n v="231635363"/>
    <n v="31323"/>
    <s v="C-1199-1002-10-0-1199001-02"/>
    <s v="En trámite"/>
    <m/>
    <m/>
    <m/>
    <m/>
    <m/>
    <m/>
    <m/>
    <m/>
    <m/>
    <m/>
    <m/>
    <m/>
    <m/>
    <m/>
    <m/>
    <m/>
    <m/>
    <m/>
    <m/>
    <m/>
    <m/>
    <m/>
    <m/>
    <m/>
    <m/>
    <m/>
    <m/>
    <m/>
    <m/>
    <m/>
    <m/>
    <m/>
    <m/>
    <m/>
    <m/>
    <m/>
    <m/>
    <m/>
    <m/>
    <m/>
    <m/>
    <m/>
    <m/>
    <m/>
    <m/>
    <m/>
    <m/>
    <m/>
    <m/>
    <m/>
    <m/>
    <m/>
    <m/>
    <m/>
  </r>
  <r>
    <s v="UNIDAD ADMINISTRATIVA ESPECIAL MIGRACIÓN COLOMBIA"/>
    <s v="900477235-6"/>
    <s v="Secop II"/>
    <n v="81"/>
    <x v="3"/>
    <s v="20236231408000017E"/>
    <s v="SIE-013-2023"/>
    <x v="3"/>
    <x v="53"/>
    <s v="Selección Abreviada - Subasta Inversa Electrónica o Presencial "/>
    <m/>
    <x v="31"/>
    <s v="Contratar la actualización del licenciamiento de Antivirus con soporte técnico, de conformidad con las especificaciones técnicas señaladas por la Unidad Administrativa Especial Migración Colombia. "/>
    <s v="43232800 - 43232900 - 43233200 - 81112200 - 81112500 - 81112202"/>
    <s v="Software de administración de redes"/>
    <n v="368948696"/>
    <n v="368948696"/>
    <n v="32923"/>
    <s v="C-1199-1002-10-0-1199001-02 "/>
    <s v="En trámite"/>
    <m/>
    <m/>
    <m/>
    <m/>
    <m/>
    <m/>
    <m/>
    <m/>
    <m/>
    <m/>
    <m/>
    <m/>
    <m/>
    <m/>
    <m/>
    <m/>
    <m/>
    <m/>
    <m/>
    <m/>
    <m/>
    <m/>
    <m/>
    <m/>
    <m/>
    <m/>
    <m/>
    <m/>
    <m/>
    <m/>
    <m/>
    <m/>
    <m/>
    <m/>
    <m/>
    <m/>
    <m/>
    <m/>
    <m/>
    <m/>
    <m/>
    <m/>
    <m/>
    <m/>
    <m/>
    <m/>
    <m/>
    <m/>
    <m/>
    <m/>
    <m/>
    <m/>
    <m/>
    <m/>
  </r>
  <r>
    <s v="UNIDAD ADMINISTRATIVA ESPECIAL MIGRACIÓN COLOMBIA"/>
    <s v="900477235-6"/>
    <s v="Secop II"/>
    <n v="212"/>
    <x v="3"/>
    <s v="20236231408000020E"/>
    <s v="SAMC-008-2023"/>
    <x v="3"/>
    <x v="54"/>
    <s v="Selección Abreviada - Menor Cuantía"/>
    <m/>
    <x v="3"/>
    <s v="Contratar a todo costo, incluyendo materiales y mano de obra, la adecuación de la sede del CFSM de Medellín - Regional Antioquia."/>
    <s v=" 72101507 - 72102905 - 81101701 - 72151605"/>
    <s v="Servicios de apoyo para la construcción "/>
    <n v="500000000"/>
    <n v="500000000"/>
    <n v="31923"/>
    <s v="C-1103-1002-2-0-1103002-02 "/>
    <s v="En trámite"/>
    <m/>
    <m/>
    <m/>
    <m/>
    <m/>
    <m/>
    <m/>
    <m/>
    <m/>
    <m/>
    <m/>
    <m/>
    <m/>
    <m/>
    <m/>
    <m/>
    <m/>
    <m/>
    <m/>
    <m/>
    <m/>
    <m/>
    <m/>
    <m/>
    <m/>
    <m/>
    <m/>
    <m/>
    <m/>
    <m/>
    <m/>
    <m/>
    <m/>
    <m/>
    <m/>
    <m/>
    <m/>
    <m/>
    <m/>
    <m/>
    <m/>
    <m/>
    <m/>
    <m/>
    <m/>
    <m/>
    <m/>
    <m/>
    <m/>
    <m/>
    <m/>
    <m/>
    <m/>
    <m/>
  </r>
  <r>
    <s v="UNIDAD ADMINISTRATIVA ESPECIAL MIGRACIÓN COLOMBIA"/>
    <s v="900477235-6"/>
    <s v="Secop II"/>
    <n v="70"/>
    <x v="3"/>
    <s v="20236231408000014E"/>
    <s v="SIE-014-2023"/>
    <x v="3"/>
    <x v="54"/>
    <s v="Selección Abreviada - Subasta Inversa Electrónica o Presencial "/>
    <m/>
    <x v="31"/>
    <s v="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
    <s v="26111600 - 72103302 - 26111700 - 26131800"/>
    <s v="Generadores de Energía "/>
    <n v="600000000"/>
    <n v="548273960"/>
    <n v="34623"/>
    <s v="C-1199-1002-10-0-1199001-02 "/>
    <s v="En trámite"/>
    <m/>
    <m/>
    <m/>
    <m/>
    <m/>
    <m/>
    <m/>
    <m/>
    <m/>
    <m/>
    <m/>
    <m/>
    <m/>
    <m/>
    <m/>
    <m/>
    <m/>
    <m/>
    <m/>
    <m/>
    <m/>
    <m/>
    <m/>
    <m/>
    <m/>
    <m/>
    <m/>
    <m/>
    <m/>
    <m/>
    <m/>
    <m/>
    <m/>
    <m/>
    <m/>
    <m/>
    <m/>
    <m/>
    <m/>
    <m/>
    <m/>
    <m/>
    <m/>
    <m/>
    <m/>
    <m/>
    <m/>
    <m/>
    <m/>
    <m/>
    <m/>
    <m/>
    <m/>
    <m/>
  </r>
  <r>
    <s v="UNIDAD ADMINISTRATIVA ESPECIAL MIGRACIÓN COLOMBIA"/>
    <s v="900477235-6"/>
    <s v="TVEC"/>
    <n v="146"/>
    <x v="6"/>
    <s v="20236231410000021E"/>
    <n v="148025"/>
    <x v="3"/>
    <x v="61"/>
    <s v="Selección Abreviada"/>
    <s v="Acuerdo Marco de Precios"/>
    <x v="3"/>
    <s v="CONTRATAR LA ADQUISICIÓN DE SOAT PARA EL PARQUE AUTOMOTOR DE MIGRACIÓN COLOMBIA "/>
    <n v="84131603"/>
    <s v="Seguro de daños personales por accidente"/>
    <n v="49000000"/>
    <n v="36951700"/>
    <n v="32223"/>
    <s v="A-02-02-02-007-001"/>
    <s v="Celebrado"/>
    <s v="En ejecución "/>
    <m/>
    <n v="108703"/>
    <s v="Abril"/>
    <d v="2023-04-29T00:00:00"/>
    <s v="Orden de Compra"/>
    <m/>
    <s v="Nivel Central"/>
    <s v="Bogotá D.C. "/>
    <s v="MAPFRE SEGUROS GENERALES DE COLOMBIA S.A"/>
    <n v="891700037"/>
    <n v="9"/>
    <m/>
    <m/>
    <m/>
    <m/>
    <m/>
    <m/>
    <n v="79923"/>
    <d v="2023-05-02T00:00:00"/>
    <n v="35623228"/>
    <m/>
    <m/>
    <m/>
    <n v="35623228"/>
    <s v="NO"/>
    <m/>
    <m/>
    <d v="2023-05-02T00:00:00"/>
    <d v="2023-12-31T00:00:00"/>
    <n v="243"/>
    <s v="ELIANA CRISTINA CAMARGO SEGURA"/>
    <n v="52452907"/>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17043C5-23B2-41C1-BB0C-BF1A995E0C69}" name="TablaDinámica2" cacheId="0"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location ref="A44:F53" firstHeaderRow="1" firstDataRow="2" firstDataCol="1" rowPageCount="1" colPageCount="1"/>
  <pivotFields count="74">
    <pivotField showAll="0" defaultSubtotal="0"/>
    <pivotField showAll="0" defaultSubtotal="0"/>
    <pivotField showAll="0"/>
    <pivotField dataField="1" showAll="0"/>
    <pivotField axis="axisRow" showAll="0">
      <items count="8">
        <item x="1"/>
        <item x="2"/>
        <item x="4"/>
        <item x="0"/>
        <item x="3"/>
        <item x="5"/>
        <item x="6"/>
        <item t="default"/>
      </items>
    </pivotField>
    <pivotField showAll="0"/>
    <pivotField showAll="0"/>
    <pivotField axis="axisCol" showAll="0">
      <items count="5">
        <item x="0"/>
        <item x="1"/>
        <item x="2"/>
        <item x="3"/>
        <item t="default"/>
      </items>
    </pivotField>
    <pivotField axis="axisPage" numFmtId="14" showAll="0">
      <items count="63">
        <item x="0"/>
        <item x="1"/>
        <item x="2"/>
        <item x="3"/>
        <item x="4"/>
        <item x="5"/>
        <item x="6"/>
        <item x="7"/>
        <item x="8"/>
        <item x="9"/>
        <item x="10"/>
        <item x="11"/>
        <item x="12"/>
        <item x="13"/>
        <item x="14"/>
        <item x="27"/>
        <item x="16"/>
        <item x="28"/>
        <item x="29"/>
        <item x="22"/>
        <item x="25"/>
        <item x="21"/>
        <item x="17"/>
        <item x="15"/>
        <item x="20"/>
        <item x="26"/>
        <item x="24"/>
        <item x="18"/>
        <item x="19"/>
        <item x="23"/>
        <item x="52"/>
        <item x="50"/>
        <item x="47"/>
        <item x="31"/>
        <item x="36"/>
        <item x="51"/>
        <item x="39"/>
        <item x="30"/>
        <item x="32"/>
        <item x="33"/>
        <item x="34"/>
        <item x="35"/>
        <item x="37"/>
        <item x="38"/>
        <item x="40"/>
        <item x="41"/>
        <item x="42"/>
        <item x="43"/>
        <item x="44"/>
        <item x="45"/>
        <item x="46"/>
        <item x="48"/>
        <item x="49"/>
        <item x="53"/>
        <item x="54"/>
        <item x="55"/>
        <item x="56"/>
        <item x="57"/>
        <item x="58"/>
        <item x="59"/>
        <item x="60"/>
        <item x="61"/>
        <item t="default"/>
      </items>
    </pivotField>
    <pivotField showAll="0"/>
    <pivotField showAll="0"/>
    <pivotField showAll="0"/>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defaultSubtotal="0"/>
    <pivotField showAll="0"/>
    <pivotField showAll="0"/>
    <pivotField showAll="0"/>
  </pivotFields>
  <rowFields count="1">
    <field x="4"/>
  </rowFields>
  <rowItems count="8">
    <i>
      <x/>
    </i>
    <i>
      <x v="1"/>
    </i>
    <i>
      <x v="2"/>
    </i>
    <i>
      <x v="3"/>
    </i>
    <i>
      <x v="4"/>
    </i>
    <i>
      <x v="5"/>
    </i>
    <i>
      <x v="6"/>
    </i>
    <i t="grand">
      <x/>
    </i>
  </rowItems>
  <colFields count="1">
    <field x="7"/>
  </colFields>
  <colItems count="5">
    <i>
      <x/>
    </i>
    <i>
      <x v="1"/>
    </i>
    <i>
      <x v="2"/>
    </i>
    <i>
      <x v="3"/>
    </i>
    <i t="grand">
      <x/>
    </i>
  </colItems>
  <pageFields count="1">
    <pageField fld="8" hier="-1"/>
  </pageFields>
  <dataFields count="1">
    <dataField name="Cuenta de CONSECUTIVO PAABS EXCEL Y ESTUDIOS PREVIOS " fld="3" subtotal="count" baseField="0" baseItem="45474660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4CC47C8-14A4-4051-86E6-159E05F5FC25}" name="TablaDinámica3" cacheId="0"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location ref="A6:F40" firstHeaderRow="1" firstDataRow="2" firstDataCol="1" rowPageCount="1" colPageCount="1"/>
  <pivotFields count="74">
    <pivotField showAll="0" defaultSubtotal="0"/>
    <pivotField showAll="0" defaultSubtotal="0"/>
    <pivotField showAll="0"/>
    <pivotField dataField="1" showAll="0"/>
    <pivotField showAll="0"/>
    <pivotField showAll="0"/>
    <pivotField showAll="0"/>
    <pivotField axis="axisCol" showAll="0">
      <items count="5">
        <item x="0"/>
        <item x="1"/>
        <item x="2"/>
        <item x="3"/>
        <item t="default"/>
      </items>
    </pivotField>
    <pivotField axis="axisPage" numFmtId="14" showAl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9"/>
        <item x="41"/>
        <item x="42"/>
        <item x="43"/>
        <item x="45"/>
        <item x="46"/>
        <item x="47"/>
        <item x="48"/>
        <item x="49"/>
        <item x="50"/>
        <item x="51"/>
        <item x="52"/>
        <item x="38"/>
        <item x="40"/>
        <item x="44"/>
        <item x="53"/>
        <item x="54"/>
        <item x="55"/>
        <item x="56"/>
        <item x="57"/>
        <item x="58"/>
        <item x="59"/>
        <item x="60"/>
        <item x="61"/>
        <item t="default"/>
      </items>
    </pivotField>
    <pivotField showAll="0"/>
    <pivotField showAll="0"/>
    <pivotField axis="axisRow" showAll="0">
      <items count="33">
        <item x="19"/>
        <item x="0"/>
        <item x="7"/>
        <item x="16"/>
        <item x="27"/>
        <item x="14"/>
        <item x="1"/>
        <item x="9"/>
        <item x="11"/>
        <item x="4"/>
        <item x="2"/>
        <item x="25"/>
        <item x="10"/>
        <item x="5"/>
        <item x="8"/>
        <item x="20"/>
        <item x="21"/>
        <item x="3"/>
        <item x="23"/>
        <item x="18"/>
        <item x="13"/>
        <item x="12"/>
        <item x="17"/>
        <item x="22"/>
        <item x="24"/>
        <item x="26"/>
        <item x="6"/>
        <item x="15"/>
        <item x="28"/>
        <item x="29"/>
        <item x="30"/>
        <item x="31"/>
        <item t="default"/>
      </items>
    </pivotField>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defaultSubtotal="0"/>
    <pivotField showAll="0"/>
    <pivotField showAll="0"/>
    <pivotField showAll="0"/>
  </pivotFields>
  <rowFields count="1">
    <field x="11"/>
  </rowFields>
  <rowItems count="3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t="grand">
      <x/>
    </i>
  </rowItems>
  <colFields count="1">
    <field x="7"/>
  </colFields>
  <colItems count="5">
    <i>
      <x/>
    </i>
    <i>
      <x v="1"/>
    </i>
    <i>
      <x v="2"/>
    </i>
    <i>
      <x v="3"/>
    </i>
    <i t="grand">
      <x/>
    </i>
  </colItems>
  <pageFields count="1">
    <pageField fld="8" hier="-1"/>
  </pageFields>
  <dataFields count="1">
    <dataField name="Cuenta de CONSECUTIVO PAABS EXCEL Y ESTUDIOS PREVIOS "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22DE06-19B6-49CD-B419-58F6AB9E065C}" name="Tabla13" displayName="Tabla13" ref="A1:BV196" totalsRowShown="0" headerRowDxfId="1" dataDxfId="0" headerRowBorderDxfId="78" tableBorderDxfId="77" totalsRowBorderDxfId="76">
  <autoFilter ref="A1:BV196" xr:uid="{4D22DE06-19B6-49CD-B419-58F6AB9E065C}"/>
  <sortState xmlns:xlrd2="http://schemas.microsoft.com/office/spreadsheetml/2017/richdata2" ref="A2:BV21">
    <sortCondition ref="D1:D196"/>
  </sortState>
  <tableColumns count="74">
    <tableColumn id="70" xr3:uid="{7D18A2BD-2739-4DB9-8D95-4FD906BD5170}" name="ENTIDAD" dataDxfId="75"/>
    <tableColumn id="71" xr3:uid="{ECD9B303-46CA-449C-A0AD-5B9DD90908EB}" name="NIT" dataDxfId="74"/>
    <tableColumn id="1" xr3:uid="{31D65CA3-8B7D-47BE-B4EE-CFE036F1E78E}" name="PLATAFORMA" dataDxfId="73"/>
    <tableColumn id="2" xr3:uid="{E55195AA-1061-4136-8E1C-8009B5426B21}" name="CONSECUTIVO PAABS EXCEL Y ESTUDIOS PREVIOS " dataDxfId="72"/>
    <tableColumn id="3" xr3:uid="{B162B43A-6A4D-4F70-A012-431EFE474D06}" name="PROFESIONAL ENCARGADO" dataDxfId="71"/>
    <tableColumn id="4" xr3:uid="{3C700F74-A253-4E5D-8B10-61B56F3123E3}" name="EXPEDIENTE" dataDxfId="70"/>
    <tableColumn id="5" xr3:uid="{3989418D-1D03-476E-B8C8-AB9CF526A440}" name="N°PROCESO EN SECOP / No. EVENTO " dataDxfId="69"/>
    <tableColumn id="6" xr3:uid="{37420D2A-C181-4430-9C43-C10B8689C503}" name="MES" dataDxfId="68"/>
    <tableColumn id="7" xr3:uid="{AB523B0C-F458-4D54-A4C4-EF0BF3381C08}" name="FECHA PUBLICACION PROCESO SECOP II-TIENDA VIRTUAL" dataDxfId="67"/>
    <tableColumn id="8" xr3:uid="{3342D10D-A09A-4E7C-8C2A-A3B69D38A4C4}" name="MODALIDAD" dataDxfId="66"/>
    <tableColumn id="9" xr3:uid="{5B279AD7-B7B8-4483-91FC-FFF0ECFA5036}" name="CAUSAL" dataDxfId="65"/>
    <tableColumn id="10" xr3:uid="{0C1A56FC-99B9-4F0B-BD7A-5BE9580EC671}" name="AREA DE LA  NECESIDAD" dataDxfId="64"/>
    <tableColumn id="11" xr3:uid="{72948773-A76A-40CA-B471-C3A358E3C4C1}" name="OBJETO" dataDxfId="63"/>
    <tableColumn id="12" xr3:uid="{CBB5022D-F9B6-4BEB-A6D4-31B0A64EBA4A}" name="CODIGO UNSCSP" dataDxfId="62"/>
    <tableColumn id="13" xr3:uid="{F09D8ED6-1545-41E1-8053-FB70EEA0B1CA}" name="NOMBRE DE CODIGO" dataDxfId="61"/>
    <tableColumn id="14" xr3:uid="{4DA04C9F-55B4-4C97-B146-E75426DC52F3}" name="VALOR PROCESO EN EL PAABS SECOP II" dataDxfId="60"/>
    <tableColumn id="15" xr3:uid="{BDD212BD-D858-4E40-B624-727C54D00E5C}" name="VALOR PROCESO  ESTUDIOS PREVIOS " dataDxfId="59"/>
    <tableColumn id="16" xr3:uid="{A4F27A19-7E9F-44E0-A929-D86614613B60}" name="CDP" dataDxfId="58"/>
    <tableColumn id="17" xr3:uid="{74BD3072-ACF8-4A45-A931-B81B8FAC44A3}" name="RUBRO" dataDxfId="57"/>
    <tableColumn id="18" xr3:uid="{55AF80A0-EA21-46AD-9828-C8B4E5D5C80E}" name="ETAPA" dataDxfId="56"/>
    <tableColumn id="19" xr3:uid="{D1A2D67E-CE35-45F6-A1D0-76D3E0BA43FB}" name="ESTADO" dataDxfId="55"/>
    <tableColumn id="20" xr3:uid="{8DBCC896-E04F-455C-BE9E-467F57B36D49}" name="RESOLUCION DECLARACTORIA DESIERTO" dataDxfId="54"/>
    <tableColumn id="21" xr3:uid="{E1BE6A7B-AE40-4609-861E-1109AB8B0F78}" name="N° DE CONTRATO CELEBRADO" dataDxfId="53"/>
    <tableColumn id="22" xr3:uid="{6F54C078-18F8-4755-8CA9-C136D553E9F6}" name="MES2" dataDxfId="52"/>
    <tableColumn id="23" xr3:uid="{54C79963-5056-4963-A262-2733C978EE24}" name="FECHA DE FIRMA CONTRATO" dataDxfId="51"/>
    <tableColumn id="24" xr3:uid="{740DEB0B-E08D-4D30-9AB6-9331552BF884}" name="TIPO DE CONTRATO" dataDxfId="50"/>
    <tableColumn id="25" xr3:uid="{85323AEE-E6E0-4DB0-ACA9-D5E5771395F3}" name="OTRO TIPO DE CONTRATO" dataDxfId="49"/>
    <tableColumn id="26" xr3:uid="{3B2F0053-77BE-4CED-8F71-50C3D217EFCF}" name="REGIONAL" dataDxfId="48"/>
    <tableColumn id="27" xr3:uid="{D3EE7C3F-90F9-41B4-A66C-05D33E94042D}" name="_x000a_LUGAR DE EJECUCION_x000a_" dataDxfId="47"/>
    <tableColumn id="28" xr3:uid="{489644FF-B9E1-453F-8F6A-F3FAAA4F213C}" name="CONTRATISTA" dataDxfId="46"/>
    <tableColumn id="29" xr3:uid="{8F903CC6-FA2C-401A-AC44-993EB124C6FF}" name="IDENTIFICACION" dataDxfId="45"/>
    <tableColumn id="30" xr3:uid="{D4CD7E2A-B82A-40A4-82E9-77F6CDBEA0E4}" name="DV" dataDxfId="44"/>
    <tableColumn id="74" xr3:uid="{9C0F4113-EFFA-407A-BD8A-C94EAD75C1E5}" name="PROFESIÓN" dataDxfId="43"/>
    <tableColumn id="68" xr3:uid="{6C4D5D5F-B5CA-4E26-95AF-574695BB3A51}" name="MYPIME" dataDxfId="42"/>
    <tableColumn id="72" xr3:uid="{EAE7B291-FD5A-46F9-B890-DB3B2AB3930F}" name="CLASIFICACION" dataDxfId="41"/>
    <tableColumn id="73" xr3:uid="{1D28FD33-3805-4065-A4A4-04F3D782CFFD}" name="TIPO DE ORGANIZACIÓN" dataDxfId="40"/>
    <tableColumn id="65" xr3:uid="{EA5D4A2C-CDC2-4A3A-B13D-CA0728AC8C45}" name="FECHA DE NACIMIENTO" dataDxfId="39"/>
    <tableColumn id="67" xr3:uid="{23494587-5E93-4CC3-A53D-FA56BAB135B6}" name="EDAD" dataDxfId="38">
      <calculatedColumnFormula>+YEAR(TODAY())-YEAR(Tabla13[[#This Row],[FECHA DE NACIMIENTO]])</calculatedColumnFormula>
    </tableColumn>
    <tableColumn id="31" xr3:uid="{96383E9E-A6BB-405E-AFAB-89BCF3AA71B9}" name="N° RP" dataDxfId="37"/>
    <tableColumn id="32" xr3:uid="{3414BD82-8927-47AD-B399-E2B9F9AECDB1}" name="FECHA RP" dataDxfId="36"/>
    <tableColumn id="33" xr3:uid="{0112DAE8-DC02-431C-9502-CB8503FD0CC0}" name="VALOR  2023" dataDxfId="35"/>
    <tableColumn id="34" xr3:uid="{7AAACAF5-BB9D-4F33-BB39-693081477F46}" name="VALOR VF 2024" dataDxfId="34"/>
    <tableColumn id="35" xr3:uid="{78C3E942-54A6-4D08-8A07-B02039C4FC77}" name="VALOR VF 2025" dataDxfId="33"/>
    <tableColumn id="36" xr3:uid="{6E030218-47BA-4D89-8D9D-EFA515F5D764}" name="VALOR VF 2026" dataDxfId="32"/>
    <tableColumn id="37" xr3:uid="{8AC009AD-134D-4173-A79C-5084BE0E1B12}" name="VALOR TOTAL CONTRATO + VF" dataDxfId="31"/>
    <tableColumn id="38" xr3:uid="{19B0C811-13B3-4294-A966-E77FE2B8BFCE}" name="GARANTIA" dataDxfId="30"/>
    <tableColumn id="39" xr3:uid="{3361439E-C835-4957-AC56-84BBA91EE992}" name="FECHA DE EXPEDICION GARANTIA" dataDxfId="29"/>
    <tableColumn id="40" xr3:uid="{2DD8C110-0870-449E-AE78-BBE01F6AAE36}" name="RIESGOS" dataDxfId="28"/>
    <tableColumn id="41" xr3:uid="{95AA392F-2BF1-413F-A8B2-10F134B3E6BA}" name="FECHA DE INICIO DEL CONTRATO" dataDxfId="27"/>
    <tableColumn id="42" xr3:uid="{BE00029F-A949-4E1C-AA04-B741061809AE}" name="FECHA DE TERMINACION DEL CONTRATO" dataDxfId="26"/>
    <tableColumn id="43" xr3:uid="{8170D989-C3A0-452A-9955-5C112ECEA99D}" name="DIAS DE EJECUCION DEL CONTRATO" dataDxfId="25"/>
    <tableColumn id="44" xr3:uid="{37F70B1B-3AD1-4A99-9BF5-D78BF56AD877}" name="NOMBRE SUPERVISOR" dataDxfId="24"/>
    <tableColumn id="45" xr3:uid="{6A35C5A4-55E3-4426-9CBF-B6EE816711BE}" name="CEDULA SUPERVISOR" dataDxfId="23"/>
    <tableColumn id="46" xr3:uid="{44E191B0-C5F2-41A2-9E8A-4548CDA8E03C}" name="ADICION 1 " dataDxfId="22"/>
    <tableColumn id="47" xr3:uid="{5DA41538-65F2-4118-A792-70DE12D3A001}" name="FECHA  DE FIRMA" dataDxfId="21"/>
    <tableColumn id="48" xr3:uid="{171259CF-9AFE-4B49-86A2-AF48E625127A}" name="ADICION 2" dataDxfId="20"/>
    <tableColumn id="69" xr3:uid="{B64B2DBE-0D55-4640-9EE0-330A5A4A5641}" name="FECHA FIRMA" dataDxfId="19"/>
    <tableColumn id="66" xr3:uid="{39FF300C-FC9B-43A4-8D5D-440B08A6BE8C}" name="ADICION 3" dataDxfId="18"/>
    <tableColumn id="49" xr3:uid="{7C6BD182-0376-4AE6-AD94-FAB377CE08A4}" name="FECHADE FIRMA" dataDxfId="17"/>
    <tableColumn id="50" xr3:uid="{C871E751-A2EC-4A3D-8CEE-0B5D82FF6704}" name="LIBERACION" dataDxfId="16"/>
    <tableColumn id="51" xr3:uid="{6A71766E-3513-43A2-B489-C1050B2B6F4C}" name="FECHA LIBERACION " dataDxfId="15"/>
    <tableColumn id="52" xr3:uid="{D489527E-6799-4212-89BE-EDA59045056E}" name="VALOR TOTAL DEL CONTRATO CON ADICIONES VIGENCIA" dataDxfId="14"/>
    <tableColumn id="53" xr3:uid="{14653333-E943-4A2F-B6C0-E742943490DD}" name="PRORROGA 1  EN DIAS" dataDxfId="13"/>
    <tableColumn id="54" xr3:uid="{85FF05B4-FF57-4E0A-A6B6-4135015E06CD}" name="FECHADE TERMINACION DEL CONTRATO" dataDxfId="12"/>
    <tableColumn id="55" xr3:uid="{A96B2084-2D80-441C-A308-49755CA65BFA}" name="FECHA FIRMA DEL DOCUMENTO" dataDxfId="11"/>
    <tableColumn id="56" xr3:uid="{18FF74B6-C87A-4224-9747-731A7672552B}" name="PRORROGA 2 EN DIAS" dataDxfId="10"/>
    <tableColumn id="57" xr3:uid="{77B2147D-10F6-401D-8B05-E5053EBB2BA9}" name="FECHA DE TERMINACION DEL CONTRATO2" dataDxfId="9"/>
    <tableColumn id="58" xr3:uid="{A80408A9-2FA9-4C67-AD5E-5047960B3D1D}" name="FECHA FIRMA DEL DOCUMENTOS" dataDxfId="8"/>
    <tableColumn id="59" xr3:uid="{E407F283-B141-493B-AF76-EBCA7284013B}" name="PRORROGA 3 EN DIAS" dataDxfId="7"/>
    <tableColumn id="60" xr3:uid="{5FF3678A-E57A-4A5A-8A83-F1677984006E}" name="FECHA DE TERMINACION DEL CONTRATO3" dataDxfId="6"/>
    <tableColumn id="61" xr3:uid="{B5E9215E-6DCD-4DB0-9030-F1CF352FE9BB}" name="FECHA FIRMA DEL DOCUMENTO2" dataDxfId="5"/>
    <tableColumn id="62" xr3:uid="{07D272F9-DB14-4B65-AE2F-7588D1983DA3}" name="TIEMPO DE EJECUCION DEL CONTRATO CON LAS PRORROGAS" dataDxfId="4"/>
    <tableColumn id="63" xr3:uid="{28AF03E7-7A78-4E43-A850-63AC32BF7F13}" name="FECHA DE LIQUIDACION DEL CONTRATO" dataDxfId="3"/>
    <tableColumn id="64" xr3:uid="{DCF7046B-D99C-400C-AE07-88E53708F6F4}" name="OBSERVACION " dataDxfId="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lombiacompra.coupahost.com/requisition_headers/183369" TargetMode="External"/><Relationship Id="rId13" Type="http://schemas.openxmlformats.org/officeDocument/2006/relationships/drawing" Target="../drawings/drawing1.xml"/><Relationship Id="rId3" Type="http://schemas.openxmlformats.org/officeDocument/2006/relationships/hyperlink" Target="javascript:void(0);" TargetMode="External"/><Relationship Id="rId7" Type="http://schemas.openxmlformats.org/officeDocument/2006/relationships/hyperlink" Target="https://colombiacompra.coupahost.com/order_headers/106792" TargetMode="External"/><Relationship Id="rId12" Type="http://schemas.openxmlformats.org/officeDocument/2006/relationships/printerSettings" Target="../printerSettings/printerSettings1.bin"/><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1" Type="http://schemas.openxmlformats.org/officeDocument/2006/relationships/hyperlink" Target="javascript:void(0);" TargetMode="External"/><Relationship Id="rId5" Type="http://schemas.openxmlformats.org/officeDocument/2006/relationships/hyperlink" Target="javascript:void(0);" TargetMode="External"/><Relationship Id="rId10" Type="http://schemas.openxmlformats.org/officeDocument/2006/relationships/hyperlink" Target="javascript:void(0);" TargetMode="External"/><Relationship Id="rId4" Type="http://schemas.openxmlformats.org/officeDocument/2006/relationships/hyperlink" Target="javascript:void(0);" TargetMode="External"/><Relationship Id="rId9" Type="http://schemas.openxmlformats.org/officeDocument/2006/relationships/hyperlink" Target="javascript:void(0);"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3"/>
  <sheetViews>
    <sheetView topLeftCell="A40" workbookViewId="0">
      <selection activeCell="E51" sqref="E51"/>
    </sheetView>
  </sheetViews>
  <sheetFormatPr baseColWidth="10" defaultRowHeight="15" x14ac:dyDescent="0.25"/>
  <cols>
    <col min="1" max="1" width="55.42578125" bestFit="1" customWidth="1"/>
    <col min="2" max="2" width="22.42578125" customWidth="1"/>
    <col min="3" max="3" width="8" customWidth="1"/>
    <col min="4" max="4" width="6.5703125" bestFit="1" customWidth="1"/>
    <col min="5" max="5" width="5.28515625" bestFit="1" customWidth="1"/>
    <col min="6" max="6" width="12.5703125" bestFit="1" customWidth="1"/>
  </cols>
  <sheetData>
    <row r="3" spans="1:6" x14ac:dyDescent="0.25">
      <c r="A3" s="6"/>
    </row>
    <row r="4" spans="1:6" x14ac:dyDescent="0.25">
      <c r="A4" s="5" t="s">
        <v>5</v>
      </c>
      <c r="B4" t="s">
        <v>417</v>
      </c>
    </row>
    <row r="6" spans="1:6" x14ac:dyDescent="0.25">
      <c r="A6" s="5" t="s">
        <v>413</v>
      </c>
      <c r="B6" s="5" t="s">
        <v>416</v>
      </c>
    </row>
    <row r="7" spans="1:6" x14ac:dyDescent="0.25">
      <c r="A7" s="5" t="s">
        <v>414</v>
      </c>
      <c r="B7" t="s">
        <v>57</v>
      </c>
      <c r="C7" t="s">
        <v>127</v>
      </c>
      <c r="D7" t="s">
        <v>769</v>
      </c>
      <c r="E7" t="s">
        <v>1155</v>
      </c>
      <c r="F7" t="s">
        <v>415</v>
      </c>
    </row>
    <row r="8" spans="1:6" x14ac:dyDescent="0.25">
      <c r="A8" s="6" t="s">
        <v>408</v>
      </c>
      <c r="B8">
        <v>1</v>
      </c>
      <c r="F8">
        <v>1</v>
      </c>
    </row>
    <row r="9" spans="1:6" x14ac:dyDescent="0.25">
      <c r="A9" s="6" t="s">
        <v>136</v>
      </c>
      <c r="B9">
        <v>4</v>
      </c>
      <c r="C9">
        <v>1</v>
      </c>
      <c r="F9">
        <v>5</v>
      </c>
    </row>
    <row r="10" spans="1:6" x14ac:dyDescent="0.25">
      <c r="A10" s="6" t="s">
        <v>291</v>
      </c>
      <c r="B10">
        <v>2</v>
      </c>
      <c r="D10">
        <v>1</v>
      </c>
      <c r="F10">
        <v>3</v>
      </c>
    </row>
    <row r="11" spans="1:6" x14ac:dyDescent="0.25">
      <c r="A11" s="6" t="s">
        <v>324</v>
      </c>
      <c r="B11">
        <v>1</v>
      </c>
      <c r="F11">
        <v>1</v>
      </c>
    </row>
    <row r="12" spans="1:6" x14ac:dyDescent="0.25">
      <c r="A12" s="6" t="s">
        <v>925</v>
      </c>
      <c r="D12">
        <v>1</v>
      </c>
      <c r="F12">
        <v>1</v>
      </c>
    </row>
    <row r="13" spans="1:6" x14ac:dyDescent="0.25">
      <c r="A13" s="6" t="s">
        <v>250</v>
      </c>
      <c r="B13">
        <v>2</v>
      </c>
      <c r="D13">
        <v>4</v>
      </c>
      <c r="F13">
        <v>6</v>
      </c>
    </row>
    <row r="14" spans="1:6" x14ac:dyDescent="0.25">
      <c r="A14" s="6" t="s">
        <v>150</v>
      </c>
      <c r="B14">
        <v>11</v>
      </c>
      <c r="C14">
        <v>1</v>
      </c>
      <c r="F14">
        <v>12</v>
      </c>
    </row>
    <row r="15" spans="1:6" x14ac:dyDescent="0.25">
      <c r="A15" s="6" t="s">
        <v>371</v>
      </c>
      <c r="B15">
        <v>4</v>
      </c>
      <c r="F15">
        <v>4</v>
      </c>
    </row>
    <row r="16" spans="1:6" x14ac:dyDescent="0.25">
      <c r="A16" s="6" t="s">
        <v>166</v>
      </c>
      <c r="B16">
        <v>1</v>
      </c>
      <c r="C16">
        <v>1</v>
      </c>
      <c r="F16">
        <v>2</v>
      </c>
    </row>
    <row r="17" spans="1:6" x14ac:dyDescent="0.25">
      <c r="A17" s="6" t="s">
        <v>99</v>
      </c>
      <c r="B17">
        <v>4</v>
      </c>
      <c r="C17">
        <v>1</v>
      </c>
      <c r="F17">
        <v>5</v>
      </c>
    </row>
    <row r="18" spans="1:6" x14ac:dyDescent="0.25">
      <c r="A18" s="6" t="s">
        <v>86</v>
      </c>
      <c r="B18">
        <v>6</v>
      </c>
      <c r="C18">
        <v>5</v>
      </c>
      <c r="D18">
        <v>3</v>
      </c>
      <c r="E18">
        <v>1</v>
      </c>
      <c r="F18">
        <v>15</v>
      </c>
    </row>
    <row r="19" spans="1:6" x14ac:dyDescent="0.25">
      <c r="A19" s="6" t="s">
        <v>964</v>
      </c>
      <c r="D19">
        <v>1</v>
      </c>
      <c r="F19">
        <v>1</v>
      </c>
    </row>
    <row r="20" spans="1:6" x14ac:dyDescent="0.25">
      <c r="A20" s="6" t="s">
        <v>225</v>
      </c>
      <c r="B20">
        <v>6</v>
      </c>
      <c r="C20">
        <v>10</v>
      </c>
      <c r="D20">
        <v>11</v>
      </c>
      <c r="F20">
        <v>27</v>
      </c>
    </row>
    <row r="21" spans="1:6" x14ac:dyDescent="0.25">
      <c r="A21" s="6" t="s">
        <v>188</v>
      </c>
      <c r="B21">
        <v>2</v>
      </c>
      <c r="D21">
        <v>1</v>
      </c>
      <c r="F21">
        <v>3</v>
      </c>
    </row>
    <row r="22" spans="1:6" x14ac:dyDescent="0.25">
      <c r="A22" s="6" t="s">
        <v>303</v>
      </c>
      <c r="B22">
        <v>2</v>
      </c>
      <c r="F22">
        <v>2</v>
      </c>
    </row>
    <row r="23" spans="1:6" x14ac:dyDescent="0.25">
      <c r="A23" s="6" t="s">
        <v>621</v>
      </c>
      <c r="C23">
        <v>1</v>
      </c>
      <c r="F23">
        <v>1</v>
      </c>
    </row>
    <row r="24" spans="1:6" x14ac:dyDescent="0.25">
      <c r="A24" s="6" t="s">
        <v>610</v>
      </c>
      <c r="C24">
        <v>1</v>
      </c>
      <c r="D24">
        <v>5</v>
      </c>
      <c r="F24">
        <v>6</v>
      </c>
    </row>
    <row r="25" spans="1:6" x14ac:dyDescent="0.25">
      <c r="A25" s="6" t="s">
        <v>61</v>
      </c>
      <c r="B25">
        <v>5</v>
      </c>
      <c r="C25">
        <v>7</v>
      </c>
      <c r="D25">
        <v>12</v>
      </c>
      <c r="E25">
        <v>6</v>
      </c>
      <c r="F25">
        <v>30</v>
      </c>
    </row>
    <row r="26" spans="1:6" x14ac:dyDescent="0.25">
      <c r="A26" s="6" t="s">
        <v>766</v>
      </c>
      <c r="C26">
        <v>1</v>
      </c>
      <c r="D26">
        <v>20</v>
      </c>
      <c r="E26">
        <v>6</v>
      </c>
      <c r="F26">
        <v>27</v>
      </c>
    </row>
    <row r="27" spans="1:6" x14ac:dyDescent="0.25">
      <c r="A27" s="6" t="s">
        <v>340</v>
      </c>
      <c r="B27">
        <v>1</v>
      </c>
      <c r="C27">
        <v>2</v>
      </c>
      <c r="D27">
        <v>6</v>
      </c>
      <c r="F27">
        <v>9</v>
      </c>
    </row>
    <row r="28" spans="1:6" x14ac:dyDescent="0.25">
      <c r="A28" s="6" t="s">
        <v>78</v>
      </c>
      <c r="B28">
        <v>1</v>
      </c>
      <c r="F28">
        <v>1</v>
      </c>
    </row>
    <row r="29" spans="1:6" x14ac:dyDescent="0.25">
      <c r="A29" s="6" t="s">
        <v>313</v>
      </c>
      <c r="B29">
        <v>3</v>
      </c>
      <c r="C29">
        <v>2</v>
      </c>
      <c r="D29">
        <v>5</v>
      </c>
      <c r="E29">
        <v>2</v>
      </c>
      <c r="F29">
        <v>12</v>
      </c>
    </row>
    <row r="30" spans="1:6" x14ac:dyDescent="0.25">
      <c r="A30" s="6" t="s">
        <v>334</v>
      </c>
      <c r="B30">
        <v>1</v>
      </c>
      <c r="C30">
        <v>2</v>
      </c>
      <c r="F30">
        <v>3</v>
      </c>
    </row>
    <row r="31" spans="1:6" x14ac:dyDescent="0.25">
      <c r="A31" s="6" t="s">
        <v>652</v>
      </c>
      <c r="C31">
        <v>2</v>
      </c>
      <c r="D31">
        <v>2</v>
      </c>
      <c r="E31">
        <v>2</v>
      </c>
      <c r="F31">
        <v>6</v>
      </c>
    </row>
    <row r="32" spans="1:6" x14ac:dyDescent="0.25">
      <c r="A32" s="6" t="s">
        <v>839</v>
      </c>
      <c r="D32">
        <v>2</v>
      </c>
      <c r="E32">
        <v>1</v>
      </c>
      <c r="F32">
        <v>3</v>
      </c>
    </row>
    <row r="33" spans="1:6" x14ac:dyDescent="0.25">
      <c r="A33" s="6" t="s">
        <v>978</v>
      </c>
      <c r="D33">
        <v>1</v>
      </c>
      <c r="F33">
        <v>1</v>
      </c>
    </row>
    <row r="34" spans="1:6" x14ac:dyDescent="0.25">
      <c r="A34" s="6" t="s">
        <v>215</v>
      </c>
      <c r="B34">
        <v>1</v>
      </c>
      <c r="F34">
        <v>1</v>
      </c>
    </row>
    <row r="35" spans="1:6" x14ac:dyDescent="0.25">
      <c r="A35" s="6" t="s">
        <v>259</v>
      </c>
      <c r="B35">
        <v>1</v>
      </c>
      <c r="E35">
        <v>3</v>
      </c>
      <c r="F35">
        <v>4</v>
      </c>
    </row>
    <row r="36" spans="1:6" x14ac:dyDescent="0.25">
      <c r="A36" s="6" t="s">
        <v>1181</v>
      </c>
      <c r="E36">
        <v>2</v>
      </c>
      <c r="F36">
        <v>2</v>
      </c>
    </row>
    <row r="37" spans="1:6" x14ac:dyDescent="0.25">
      <c r="A37" s="6" t="s">
        <v>1203</v>
      </c>
      <c r="E37">
        <v>2</v>
      </c>
      <c r="F37">
        <v>2</v>
      </c>
    </row>
    <row r="38" spans="1:6" x14ac:dyDescent="0.25">
      <c r="A38" s="6" t="s">
        <v>1212</v>
      </c>
      <c r="E38">
        <v>1</v>
      </c>
      <c r="F38">
        <v>1</v>
      </c>
    </row>
    <row r="39" spans="1:6" x14ac:dyDescent="0.25">
      <c r="A39" s="6" t="s">
        <v>1352</v>
      </c>
      <c r="E39">
        <v>3</v>
      </c>
      <c r="F39">
        <v>3</v>
      </c>
    </row>
    <row r="40" spans="1:6" x14ac:dyDescent="0.25">
      <c r="A40" s="6" t="s">
        <v>415</v>
      </c>
      <c r="B40">
        <v>59</v>
      </c>
      <c r="C40">
        <v>37</v>
      </c>
      <c r="D40">
        <v>75</v>
      </c>
      <c r="E40">
        <v>29</v>
      </c>
      <c r="F40">
        <v>200</v>
      </c>
    </row>
    <row r="42" spans="1:6" x14ac:dyDescent="0.25">
      <c r="A42" s="5" t="s">
        <v>5</v>
      </c>
      <c r="B42" t="s">
        <v>417</v>
      </c>
    </row>
    <row r="44" spans="1:6" x14ac:dyDescent="0.25">
      <c r="A44" s="5" t="s">
        <v>413</v>
      </c>
      <c r="B44" s="5" t="s">
        <v>416</v>
      </c>
    </row>
    <row r="45" spans="1:6" x14ac:dyDescent="0.25">
      <c r="A45" s="5" t="s">
        <v>414</v>
      </c>
      <c r="B45" t="s">
        <v>57</v>
      </c>
      <c r="C45" t="s">
        <v>127</v>
      </c>
      <c r="D45" t="s">
        <v>769</v>
      </c>
      <c r="E45" t="s">
        <v>1155</v>
      </c>
      <c r="F45" t="s">
        <v>415</v>
      </c>
    </row>
    <row r="46" spans="1:6" x14ac:dyDescent="0.25">
      <c r="A46" s="6" t="s">
        <v>55</v>
      </c>
      <c r="B46">
        <v>11</v>
      </c>
      <c r="C46">
        <v>6</v>
      </c>
      <c r="D46">
        <v>8</v>
      </c>
      <c r="E46">
        <v>5</v>
      </c>
      <c r="F46">
        <v>30</v>
      </c>
    </row>
    <row r="47" spans="1:6" x14ac:dyDescent="0.25">
      <c r="A47" s="6" t="s">
        <v>409</v>
      </c>
      <c r="B47">
        <v>14</v>
      </c>
      <c r="C47">
        <v>5</v>
      </c>
      <c r="D47">
        <v>21</v>
      </c>
      <c r="E47">
        <v>9</v>
      </c>
      <c r="F47">
        <v>49</v>
      </c>
    </row>
    <row r="48" spans="1:6" x14ac:dyDescent="0.25">
      <c r="A48" s="6" t="s">
        <v>344</v>
      </c>
      <c r="B48">
        <v>12</v>
      </c>
      <c r="C48">
        <v>9</v>
      </c>
      <c r="D48">
        <v>25</v>
      </c>
      <c r="F48">
        <v>46</v>
      </c>
    </row>
    <row r="49" spans="1:6" x14ac:dyDescent="0.25">
      <c r="A49" s="6" t="s">
        <v>221</v>
      </c>
      <c r="B49">
        <v>12</v>
      </c>
      <c r="C49">
        <v>16</v>
      </c>
      <c r="D49">
        <v>8</v>
      </c>
      <c r="E49">
        <v>4</v>
      </c>
      <c r="F49">
        <v>40</v>
      </c>
    </row>
    <row r="50" spans="1:6" x14ac:dyDescent="0.25">
      <c r="A50" s="6" t="s">
        <v>345</v>
      </c>
      <c r="B50">
        <v>10</v>
      </c>
      <c r="C50">
        <v>1</v>
      </c>
      <c r="D50">
        <v>11</v>
      </c>
      <c r="E50">
        <v>5</v>
      </c>
      <c r="F50">
        <v>27</v>
      </c>
    </row>
    <row r="51" spans="1:6" x14ac:dyDescent="0.25">
      <c r="A51" s="6" t="s">
        <v>1178</v>
      </c>
      <c r="D51">
        <v>2</v>
      </c>
      <c r="E51">
        <v>5</v>
      </c>
      <c r="F51">
        <v>7</v>
      </c>
    </row>
    <row r="52" spans="1:6" x14ac:dyDescent="0.25">
      <c r="A52" s="6" t="s">
        <v>1390</v>
      </c>
      <c r="E52">
        <v>1</v>
      </c>
      <c r="F52">
        <v>1</v>
      </c>
    </row>
    <row r="53" spans="1:6" x14ac:dyDescent="0.25">
      <c r="A53" s="6" t="s">
        <v>415</v>
      </c>
      <c r="B53">
        <v>59</v>
      </c>
      <c r="C53">
        <v>37</v>
      </c>
      <c r="D53">
        <v>75</v>
      </c>
      <c r="E53">
        <v>29</v>
      </c>
      <c r="F53">
        <v>200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A766-CD99-4083-8586-FE26BAED1E79}">
  <sheetPr>
    <pageSetUpPr fitToPage="1"/>
  </sheetPr>
  <dimension ref="A1:FY233"/>
  <sheetViews>
    <sheetView tabSelected="1" zoomScaleNormal="100" zoomScaleSheetLayoutView="100" workbookViewId="0">
      <pane ySplit="1" topLeftCell="A203" activePane="bottomLeft" state="frozen"/>
      <selection activeCell="O1" sqref="O1"/>
      <selection pane="bottomLeft" activeCell="D233" sqref="D233"/>
    </sheetView>
  </sheetViews>
  <sheetFormatPr baseColWidth="10" defaultColWidth="30" defaultRowHeight="15" customHeight="1" x14ac:dyDescent="0.25"/>
  <cols>
    <col min="1" max="1" width="64.28515625" style="47" customWidth="1"/>
    <col min="2" max="4" width="30" style="47" customWidth="1"/>
    <col min="5" max="5" width="41.28515625" style="47" customWidth="1"/>
    <col min="6" max="9" width="30" style="47" customWidth="1"/>
    <col min="10" max="10" width="57.42578125" style="47" bestFit="1" customWidth="1"/>
    <col min="11" max="11" width="56.85546875" style="47" customWidth="1"/>
    <col min="12" max="12" width="59.42578125" style="47" customWidth="1"/>
    <col min="13" max="13" width="255.7109375" style="47" bestFit="1" customWidth="1"/>
    <col min="14" max="14" width="67.42578125" style="193" bestFit="1" customWidth="1"/>
    <col min="15" max="15" width="179.28515625" style="193" customWidth="1"/>
    <col min="16" max="16" width="30" style="47" customWidth="1"/>
    <col min="17" max="17" width="36.7109375" style="47" customWidth="1"/>
    <col min="18" max="18" width="30" style="47" customWidth="1"/>
    <col min="19" max="19" width="43" style="47" customWidth="1"/>
    <col min="20" max="22" width="30" style="47" customWidth="1"/>
    <col min="23" max="23" width="30" style="194" customWidth="1"/>
    <col min="24" max="25" width="30" style="47" customWidth="1"/>
    <col min="26" max="26" width="52.42578125" style="47" customWidth="1"/>
    <col min="27" max="28" width="30" style="47" customWidth="1"/>
    <col min="29" max="29" width="45.7109375" style="47" customWidth="1"/>
    <col min="30" max="30" width="69.85546875" style="47" bestFit="1" customWidth="1"/>
    <col min="31" max="35" width="30" style="47" customWidth="1"/>
    <col min="36" max="36" width="41.85546875" style="47" customWidth="1"/>
    <col min="37" max="37" width="30" style="47" customWidth="1"/>
    <col min="38" max="38" width="30" style="194" customWidth="1"/>
    <col min="39" max="39" width="30" style="193" customWidth="1"/>
    <col min="40" max="42" width="30" style="47" customWidth="1"/>
    <col min="43" max="43" width="30" style="195" customWidth="1"/>
    <col min="44" max="44" width="30" style="47" customWidth="1"/>
    <col min="45" max="45" width="30" style="194" customWidth="1"/>
    <col min="46" max="46" width="30" style="47" customWidth="1"/>
    <col min="47" max="48" width="30" style="194" customWidth="1"/>
    <col min="49" max="51" width="30" style="47" customWidth="1"/>
    <col min="52" max="52" width="38.140625" style="193" customWidth="1"/>
    <col min="53" max="53" width="30" style="194" customWidth="1"/>
    <col min="54" max="56" width="30" style="47" customWidth="1"/>
    <col min="57" max="57" width="30" style="194" customWidth="1"/>
    <col min="58" max="58" width="30" style="47" customWidth="1"/>
    <col min="59" max="59" width="30" style="194" customWidth="1"/>
    <col min="60" max="60" width="30" style="193" customWidth="1"/>
    <col min="61" max="61" width="30" style="47" customWidth="1"/>
    <col min="62" max="62" width="30" style="194" customWidth="1"/>
    <col min="63" max="63" width="30" style="194"/>
    <col min="64" max="65" width="30" style="47"/>
    <col min="66" max="66" width="30" style="194"/>
    <col min="67" max="67" width="30" style="47"/>
    <col min="68" max="68" width="30" style="193"/>
    <col min="69" max="69" width="30" style="194"/>
    <col min="70" max="70" width="30" style="47"/>
    <col min="71" max="71" width="20.85546875" style="194" customWidth="1"/>
    <col min="72" max="16384" width="30" style="47"/>
  </cols>
  <sheetData>
    <row r="1" spans="1:74" s="35" customFormat="1" ht="27" customHeight="1" x14ac:dyDescent="0.25">
      <c r="A1" s="26" t="s">
        <v>457</v>
      </c>
      <c r="B1" s="26" t="s">
        <v>458</v>
      </c>
      <c r="C1" s="27" t="s">
        <v>0</v>
      </c>
      <c r="D1" s="28" t="s">
        <v>1</v>
      </c>
      <c r="E1" s="28" t="s">
        <v>418</v>
      </c>
      <c r="F1" s="28" t="s">
        <v>2</v>
      </c>
      <c r="G1" s="28" t="s">
        <v>3</v>
      </c>
      <c r="H1" s="28" t="s">
        <v>4</v>
      </c>
      <c r="I1" s="28" t="s">
        <v>5</v>
      </c>
      <c r="J1" s="28" t="s">
        <v>6</v>
      </c>
      <c r="K1" s="28" t="s">
        <v>7</v>
      </c>
      <c r="L1" s="28" t="s">
        <v>1152</v>
      </c>
      <c r="M1" s="28" t="s">
        <v>8</v>
      </c>
      <c r="N1" s="28" t="s">
        <v>9</v>
      </c>
      <c r="O1" s="28" t="s">
        <v>10</v>
      </c>
      <c r="P1" s="29" t="s">
        <v>11</v>
      </c>
      <c r="Q1" s="29" t="s">
        <v>12</v>
      </c>
      <c r="R1" s="28" t="s">
        <v>13</v>
      </c>
      <c r="S1" s="28" t="s">
        <v>14</v>
      </c>
      <c r="T1" s="28" t="s">
        <v>15</v>
      </c>
      <c r="U1" s="28" t="s">
        <v>16</v>
      </c>
      <c r="V1" s="28" t="s">
        <v>17</v>
      </c>
      <c r="W1" s="28" t="s">
        <v>18</v>
      </c>
      <c r="X1" s="28" t="s">
        <v>411</v>
      </c>
      <c r="Y1" s="30" t="s">
        <v>19</v>
      </c>
      <c r="Z1" s="28" t="s">
        <v>20</v>
      </c>
      <c r="AA1" s="28" t="s">
        <v>21</v>
      </c>
      <c r="AB1" s="28" t="s">
        <v>22</v>
      </c>
      <c r="AC1" s="28" t="s">
        <v>462</v>
      </c>
      <c r="AD1" s="28" t="s">
        <v>23</v>
      </c>
      <c r="AE1" s="28" t="s">
        <v>24</v>
      </c>
      <c r="AF1" s="28" t="s">
        <v>25</v>
      </c>
      <c r="AG1" s="31" t="s">
        <v>486</v>
      </c>
      <c r="AH1" s="31" t="s">
        <v>451</v>
      </c>
      <c r="AI1" s="31" t="s">
        <v>461</v>
      </c>
      <c r="AJ1" s="31" t="s">
        <v>463</v>
      </c>
      <c r="AK1" s="31" t="s">
        <v>450</v>
      </c>
      <c r="AL1" s="31" t="s">
        <v>449</v>
      </c>
      <c r="AM1" s="28" t="s">
        <v>26</v>
      </c>
      <c r="AN1" s="30" t="s">
        <v>27</v>
      </c>
      <c r="AO1" s="29" t="s">
        <v>72</v>
      </c>
      <c r="AP1" s="28" t="s">
        <v>28</v>
      </c>
      <c r="AQ1" s="28" t="s">
        <v>29</v>
      </c>
      <c r="AR1" s="28" t="s">
        <v>73</v>
      </c>
      <c r="AS1" s="32" t="s">
        <v>30</v>
      </c>
      <c r="AT1" s="28" t="s">
        <v>31</v>
      </c>
      <c r="AU1" s="30" t="s">
        <v>32</v>
      </c>
      <c r="AV1" s="28" t="s">
        <v>33</v>
      </c>
      <c r="AW1" s="33" t="s">
        <v>34</v>
      </c>
      <c r="AX1" s="33" t="s">
        <v>35</v>
      </c>
      <c r="AY1" s="28" t="s">
        <v>36</v>
      </c>
      <c r="AZ1" s="28" t="s">
        <v>37</v>
      </c>
      <c r="BA1" s="28" t="s">
        <v>38</v>
      </c>
      <c r="BB1" s="29" t="s">
        <v>39</v>
      </c>
      <c r="BC1" s="30" t="s">
        <v>40</v>
      </c>
      <c r="BD1" s="28" t="s">
        <v>41</v>
      </c>
      <c r="BE1" s="28" t="s">
        <v>453</v>
      </c>
      <c r="BF1" s="28" t="s">
        <v>452</v>
      </c>
      <c r="BG1" s="30" t="s">
        <v>42</v>
      </c>
      <c r="BH1" s="28" t="s">
        <v>43</v>
      </c>
      <c r="BI1" s="30" t="s">
        <v>44</v>
      </c>
      <c r="BJ1" s="29" t="s">
        <v>45</v>
      </c>
      <c r="BK1" s="28" t="s">
        <v>46</v>
      </c>
      <c r="BL1" s="30" t="s">
        <v>47</v>
      </c>
      <c r="BM1" s="30" t="s">
        <v>48</v>
      </c>
      <c r="BN1" s="28" t="s">
        <v>49</v>
      </c>
      <c r="BO1" s="28" t="s">
        <v>455</v>
      </c>
      <c r="BP1" s="30" t="s">
        <v>456</v>
      </c>
      <c r="BQ1" s="28" t="s">
        <v>50</v>
      </c>
      <c r="BR1" s="29" t="s">
        <v>412</v>
      </c>
      <c r="BS1" s="30" t="s">
        <v>454</v>
      </c>
      <c r="BT1" s="28" t="s">
        <v>51</v>
      </c>
      <c r="BU1" s="30" t="s">
        <v>52</v>
      </c>
      <c r="BV1" s="34" t="s">
        <v>53</v>
      </c>
    </row>
    <row r="2" spans="1:74" ht="15" customHeight="1" x14ac:dyDescent="0.25">
      <c r="A2" s="36" t="s">
        <v>459</v>
      </c>
      <c r="B2" s="37" t="s">
        <v>460</v>
      </c>
      <c r="C2" s="38" t="s">
        <v>54</v>
      </c>
      <c r="D2" s="39">
        <v>1</v>
      </c>
      <c r="E2" s="39" t="s">
        <v>221</v>
      </c>
      <c r="F2" s="39" t="s">
        <v>134</v>
      </c>
      <c r="G2" s="39" t="s">
        <v>135</v>
      </c>
      <c r="H2" s="39" t="s">
        <v>57</v>
      </c>
      <c r="I2" s="40">
        <v>44937</v>
      </c>
      <c r="J2" s="39" t="s">
        <v>59</v>
      </c>
      <c r="K2" s="39" t="s">
        <v>60</v>
      </c>
      <c r="L2" s="39" t="s">
        <v>136</v>
      </c>
      <c r="M2" s="39" t="s">
        <v>137</v>
      </c>
      <c r="N2" s="39">
        <v>80161504</v>
      </c>
      <c r="O2" s="39" t="s">
        <v>138</v>
      </c>
      <c r="P2" s="41">
        <v>138000000</v>
      </c>
      <c r="Q2" s="41">
        <v>138000000</v>
      </c>
      <c r="R2" s="39">
        <v>11223</v>
      </c>
      <c r="S2" s="39" t="s">
        <v>63</v>
      </c>
      <c r="T2" s="39" t="s">
        <v>64</v>
      </c>
      <c r="U2" s="39" t="s">
        <v>65</v>
      </c>
      <c r="V2" s="39"/>
      <c r="W2" s="39" t="s">
        <v>139</v>
      </c>
      <c r="X2" s="39" t="s">
        <v>57</v>
      </c>
      <c r="Y2" s="40">
        <v>44939</v>
      </c>
      <c r="Z2" s="39" t="s">
        <v>67</v>
      </c>
      <c r="AA2" s="39"/>
      <c r="AB2" s="39" t="s">
        <v>68</v>
      </c>
      <c r="AC2" s="39" t="s">
        <v>69</v>
      </c>
      <c r="AD2" s="39" t="s">
        <v>140</v>
      </c>
      <c r="AE2" s="39">
        <v>52046198</v>
      </c>
      <c r="AF2" s="39" t="s">
        <v>141</v>
      </c>
      <c r="AG2" s="39" t="s">
        <v>602</v>
      </c>
      <c r="AH2" s="39" t="s">
        <v>551</v>
      </c>
      <c r="AI2" s="39" t="s">
        <v>467</v>
      </c>
      <c r="AJ2" s="42" t="s">
        <v>517</v>
      </c>
      <c r="AK2" s="43">
        <v>26047</v>
      </c>
      <c r="AL2" s="44">
        <f ca="1">+YEAR(TODAY())-YEAR(Tabla13[[#This Row],[FECHA DE NACIMIENTO]])</f>
        <v>52</v>
      </c>
      <c r="AM2" s="39">
        <v>13723</v>
      </c>
      <c r="AN2" s="40">
        <v>44938</v>
      </c>
      <c r="AO2" s="41">
        <v>138000000</v>
      </c>
      <c r="AP2" s="39"/>
      <c r="AQ2" s="39"/>
      <c r="AR2" s="39"/>
      <c r="AS2" s="45">
        <v>138000000</v>
      </c>
      <c r="AT2" s="39" t="s">
        <v>75</v>
      </c>
      <c r="AU2" s="40">
        <v>44943</v>
      </c>
      <c r="AV2" s="46" t="s">
        <v>74</v>
      </c>
      <c r="AW2" s="40">
        <v>44943</v>
      </c>
      <c r="AX2" s="40">
        <v>45291</v>
      </c>
      <c r="AY2" s="38">
        <f t="shared" ref="AY2:AY65" si="0">(AX2-AW2)</f>
        <v>348</v>
      </c>
      <c r="AZ2" s="39" t="s">
        <v>142</v>
      </c>
      <c r="BA2" s="39">
        <v>55164919</v>
      </c>
      <c r="BB2" s="41"/>
      <c r="BC2" s="43"/>
      <c r="BD2" s="39"/>
      <c r="BE2" s="39"/>
      <c r="BF2" s="39"/>
      <c r="BG2" s="43"/>
      <c r="BH2" s="39"/>
      <c r="BI2" s="43"/>
      <c r="BJ2" s="41">
        <f>(Tabla13[[#This Row],[VALOR TOTAL CONTRATO + VF]]+Tabla13[[#This Row],[ADICION 1 ]]+Tabla13[[#This Row],[ADICION 2]]-Tabla13[[#This Row],[LIBERACION]])</f>
        <v>138000000</v>
      </c>
      <c r="BK2" s="39"/>
      <c r="BL2" s="43"/>
      <c r="BM2" s="43"/>
      <c r="BN2" s="39"/>
      <c r="BO2" s="39"/>
      <c r="BP2" s="43"/>
      <c r="BQ2" s="39"/>
      <c r="BR2" s="41"/>
      <c r="BS2" s="43"/>
      <c r="BT2" s="39">
        <f t="shared" ref="BT2:BT47" si="1">SUM(AY2+BK2+BN2+BQ2)</f>
        <v>348</v>
      </c>
      <c r="BU2" s="43"/>
      <c r="BV2" s="46"/>
    </row>
    <row r="3" spans="1:74" ht="15" customHeight="1" x14ac:dyDescent="0.25">
      <c r="A3" s="36" t="s">
        <v>459</v>
      </c>
      <c r="B3" s="37" t="s">
        <v>460</v>
      </c>
      <c r="C3" s="38" t="s">
        <v>54</v>
      </c>
      <c r="D3" s="39">
        <v>7</v>
      </c>
      <c r="E3" s="39" t="s">
        <v>221</v>
      </c>
      <c r="F3" s="39" t="s">
        <v>148</v>
      </c>
      <c r="G3" s="39" t="s">
        <v>149</v>
      </c>
      <c r="H3" s="39" t="s">
        <v>57</v>
      </c>
      <c r="I3" s="40">
        <v>44938</v>
      </c>
      <c r="J3" s="39" t="s">
        <v>59</v>
      </c>
      <c r="K3" s="39" t="s">
        <v>60</v>
      </c>
      <c r="L3" s="39" t="s">
        <v>150</v>
      </c>
      <c r="M3" s="39" t="s">
        <v>151</v>
      </c>
      <c r="N3" s="39">
        <v>80111600</v>
      </c>
      <c r="O3" s="39" t="s">
        <v>152</v>
      </c>
      <c r="P3" s="41">
        <v>57500000</v>
      </c>
      <c r="Q3" s="41">
        <v>57500000</v>
      </c>
      <c r="R3" s="39">
        <v>12223</v>
      </c>
      <c r="S3" s="39" t="s">
        <v>153</v>
      </c>
      <c r="T3" s="39" t="s">
        <v>64</v>
      </c>
      <c r="U3" s="39" t="s">
        <v>65</v>
      </c>
      <c r="V3" s="39"/>
      <c r="W3" s="39" t="s">
        <v>154</v>
      </c>
      <c r="X3" s="39" t="s">
        <v>57</v>
      </c>
      <c r="Y3" s="40">
        <v>44939</v>
      </c>
      <c r="Z3" s="39" t="s">
        <v>67</v>
      </c>
      <c r="AA3" s="39"/>
      <c r="AB3" s="39" t="s">
        <v>68</v>
      </c>
      <c r="AC3" s="39" t="s">
        <v>69</v>
      </c>
      <c r="AD3" s="39" t="s">
        <v>155</v>
      </c>
      <c r="AE3" s="39">
        <v>52528201</v>
      </c>
      <c r="AF3" s="39" t="s">
        <v>141</v>
      </c>
      <c r="AG3" s="39" t="s">
        <v>604</v>
      </c>
      <c r="AH3" s="39" t="s">
        <v>551</v>
      </c>
      <c r="AI3" s="39" t="s">
        <v>467</v>
      </c>
      <c r="AJ3" s="42" t="s">
        <v>517</v>
      </c>
      <c r="AK3" s="43">
        <v>29041</v>
      </c>
      <c r="AL3" s="44">
        <f ca="1">+YEAR(TODAY())-YEAR(Tabla13[[#This Row],[FECHA DE NACIMIENTO]])</f>
        <v>44</v>
      </c>
      <c r="AM3" s="39">
        <v>15323</v>
      </c>
      <c r="AN3" s="40">
        <v>44942</v>
      </c>
      <c r="AO3" s="41">
        <v>57500000</v>
      </c>
      <c r="AP3" s="39"/>
      <c r="AQ3" s="39"/>
      <c r="AR3" s="39"/>
      <c r="AS3" s="45">
        <v>57500000</v>
      </c>
      <c r="AT3" s="39" t="s">
        <v>75</v>
      </c>
      <c r="AU3" s="40">
        <v>44939</v>
      </c>
      <c r="AV3" s="46" t="s">
        <v>74</v>
      </c>
      <c r="AW3" s="40">
        <v>44942</v>
      </c>
      <c r="AX3" s="40">
        <v>45291</v>
      </c>
      <c r="AY3" s="38">
        <f t="shared" si="0"/>
        <v>349</v>
      </c>
      <c r="AZ3" s="39" t="s">
        <v>156</v>
      </c>
      <c r="BA3" s="39">
        <v>79276876</v>
      </c>
      <c r="BB3" s="41"/>
      <c r="BC3" s="43"/>
      <c r="BD3" s="39"/>
      <c r="BE3" s="39"/>
      <c r="BF3" s="39"/>
      <c r="BG3" s="43"/>
      <c r="BH3" s="39"/>
      <c r="BI3" s="43"/>
      <c r="BJ3" s="41">
        <f>(Tabla13[[#This Row],[VALOR TOTAL CONTRATO + VF]]+Tabla13[[#This Row],[ADICION 1 ]]+Tabla13[[#This Row],[ADICION 2]]-Tabla13[[#This Row],[LIBERACION]])</f>
        <v>57500000</v>
      </c>
      <c r="BK3" s="39"/>
      <c r="BL3" s="43"/>
      <c r="BM3" s="43"/>
      <c r="BN3" s="39"/>
      <c r="BO3" s="39"/>
      <c r="BP3" s="43"/>
      <c r="BQ3" s="39"/>
      <c r="BR3" s="41"/>
      <c r="BS3" s="43"/>
      <c r="BT3" s="39">
        <f t="shared" si="1"/>
        <v>349</v>
      </c>
      <c r="BU3" s="43"/>
      <c r="BV3" s="46"/>
    </row>
    <row r="4" spans="1:74" ht="15" customHeight="1" x14ac:dyDescent="0.25">
      <c r="A4" s="36" t="s">
        <v>459</v>
      </c>
      <c r="B4" s="37" t="s">
        <v>460</v>
      </c>
      <c r="C4" s="38" t="s">
        <v>54</v>
      </c>
      <c r="D4" s="39">
        <v>45</v>
      </c>
      <c r="E4" s="39" t="s">
        <v>221</v>
      </c>
      <c r="F4" s="39" t="s">
        <v>179</v>
      </c>
      <c r="G4" s="39" t="s">
        <v>180</v>
      </c>
      <c r="H4" s="39" t="s">
        <v>57</v>
      </c>
      <c r="I4" s="40">
        <v>44938</v>
      </c>
      <c r="J4" s="39" t="s">
        <v>59</v>
      </c>
      <c r="K4" s="39" t="s">
        <v>60</v>
      </c>
      <c r="L4" s="39" t="s">
        <v>86</v>
      </c>
      <c r="M4" s="39" t="s">
        <v>181</v>
      </c>
      <c r="N4" s="39" t="s">
        <v>182</v>
      </c>
      <c r="O4" s="39" t="s">
        <v>183</v>
      </c>
      <c r="P4" s="41">
        <v>80500000</v>
      </c>
      <c r="Q4" s="41">
        <v>80500000</v>
      </c>
      <c r="R4" s="39">
        <v>11423</v>
      </c>
      <c r="S4" s="39" t="s">
        <v>89</v>
      </c>
      <c r="T4" s="39" t="s">
        <v>64</v>
      </c>
      <c r="U4" s="39" t="s">
        <v>65</v>
      </c>
      <c r="V4" s="39"/>
      <c r="W4" s="39" t="s">
        <v>184</v>
      </c>
      <c r="X4" s="39" t="s">
        <v>57</v>
      </c>
      <c r="Y4" s="40">
        <v>44939</v>
      </c>
      <c r="Z4" s="39" t="s">
        <v>67</v>
      </c>
      <c r="AA4" s="39"/>
      <c r="AB4" s="39" t="s">
        <v>68</v>
      </c>
      <c r="AC4" s="39" t="s">
        <v>69</v>
      </c>
      <c r="AD4" s="39" t="s">
        <v>185</v>
      </c>
      <c r="AE4" s="39">
        <v>1057579290</v>
      </c>
      <c r="AF4" s="39" t="s">
        <v>141</v>
      </c>
      <c r="AG4" s="39" t="s">
        <v>604</v>
      </c>
      <c r="AH4" s="39" t="s">
        <v>551</v>
      </c>
      <c r="AI4" s="39" t="s">
        <v>467</v>
      </c>
      <c r="AJ4" s="42" t="s">
        <v>517</v>
      </c>
      <c r="AK4" s="43">
        <v>32395</v>
      </c>
      <c r="AL4" s="44">
        <f ca="1">+YEAR(TODAY())-YEAR(Tabla13[[#This Row],[FECHA DE NACIMIENTO]])</f>
        <v>35</v>
      </c>
      <c r="AM4" s="39">
        <v>14423</v>
      </c>
      <c r="AN4" s="40">
        <v>44939</v>
      </c>
      <c r="AO4" s="41">
        <v>80500000</v>
      </c>
      <c r="AP4" s="39"/>
      <c r="AQ4" s="39"/>
      <c r="AR4" s="39"/>
      <c r="AS4" s="45">
        <v>80500000</v>
      </c>
      <c r="AT4" s="39" t="s">
        <v>75</v>
      </c>
      <c r="AU4" s="40">
        <v>44943</v>
      </c>
      <c r="AV4" s="46" t="s">
        <v>74</v>
      </c>
      <c r="AW4" s="40">
        <v>44942</v>
      </c>
      <c r="AX4" s="40">
        <v>45291</v>
      </c>
      <c r="AY4" s="38">
        <f t="shared" si="0"/>
        <v>349</v>
      </c>
      <c r="AZ4" s="39" t="s">
        <v>92</v>
      </c>
      <c r="BA4" s="39">
        <v>19498970</v>
      </c>
      <c r="BB4" s="41"/>
      <c r="BC4" s="43"/>
      <c r="BD4" s="39"/>
      <c r="BE4" s="39"/>
      <c r="BF4" s="39"/>
      <c r="BG4" s="43"/>
      <c r="BH4" s="39"/>
      <c r="BI4" s="43"/>
      <c r="BJ4" s="41">
        <f>(Tabla13[[#This Row],[VALOR TOTAL CONTRATO + VF]]+Tabla13[[#This Row],[ADICION 1 ]]+Tabla13[[#This Row],[ADICION 2]]-Tabla13[[#This Row],[LIBERACION]])</f>
        <v>80500000</v>
      </c>
      <c r="BK4" s="39"/>
      <c r="BL4" s="43"/>
      <c r="BM4" s="43"/>
      <c r="BN4" s="39"/>
      <c r="BO4" s="39"/>
      <c r="BP4" s="43"/>
      <c r="BQ4" s="39"/>
      <c r="BR4" s="41"/>
      <c r="BS4" s="43"/>
      <c r="BT4" s="39">
        <f t="shared" si="1"/>
        <v>349</v>
      </c>
      <c r="BU4" s="43"/>
      <c r="BV4" s="46"/>
    </row>
    <row r="5" spans="1:74" ht="15" customHeight="1" x14ac:dyDescent="0.25">
      <c r="A5" s="36" t="s">
        <v>459</v>
      </c>
      <c r="B5" s="37" t="s">
        <v>460</v>
      </c>
      <c r="C5" s="38" t="s">
        <v>54</v>
      </c>
      <c r="D5" s="39">
        <v>165</v>
      </c>
      <c r="E5" s="39" t="s">
        <v>221</v>
      </c>
      <c r="F5" s="39" t="s">
        <v>199</v>
      </c>
      <c r="G5" s="39" t="s">
        <v>200</v>
      </c>
      <c r="H5" s="39" t="s">
        <v>57</v>
      </c>
      <c r="I5" s="40">
        <v>44938</v>
      </c>
      <c r="J5" s="39" t="s">
        <v>59</v>
      </c>
      <c r="K5" s="39" t="s">
        <v>60</v>
      </c>
      <c r="L5" s="39" t="s">
        <v>61</v>
      </c>
      <c r="M5" s="39" t="s">
        <v>201</v>
      </c>
      <c r="N5" s="39" t="s">
        <v>202</v>
      </c>
      <c r="O5" s="39" t="s">
        <v>203</v>
      </c>
      <c r="P5" s="41">
        <v>69000000</v>
      </c>
      <c r="Q5" s="41">
        <v>69000000</v>
      </c>
      <c r="R5" s="39">
        <v>9523</v>
      </c>
      <c r="S5" s="39" t="s">
        <v>63</v>
      </c>
      <c r="T5" s="39" t="s">
        <v>64</v>
      </c>
      <c r="U5" s="39" t="s">
        <v>65</v>
      </c>
      <c r="V5" s="39"/>
      <c r="W5" s="39" t="s">
        <v>204</v>
      </c>
      <c r="X5" s="39" t="s">
        <v>57</v>
      </c>
      <c r="Y5" s="40">
        <v>44942</v>
      </c>
      <c r="Z5" s="39" t="s">
        <v>67</v>
      </c>
      <c r="AA5" s="39"/>
      <c r="AB5" s="39" t="s">
        <v>68</v>
      </c>
      <c r="AC5" s="39" t="s">
        <v>69</v>
      </c>
      <c r="AD5" s="39" t="s">
        <v>205</v>
      </c>
      <c r="AE5" s="39">
        <v>80469022</v>
      </c>
      <c r="AF5" s="39" t="s">
        <v>141</v>
      </c>
      <c r="AG5" s="39" t="s">
        <v>606</v>
      </c>
      <c r="AH5" s="39" t="s">
        <v>551</v>
      </c>
      <c r="AI5" s="39" t="s">
        <v>467</v>
      </c>
      <c r="AJ5" s="42" t="s">
        <v>517</v>
      </c>
      <c r="AK5" s="43">
        <v>26432</v>
      </c>
      <c r="AL5" s="44">
        <f ca="1">+YEAR(TODAY())-YEAR(Tabla13[[#This Row],[FECHA DE NACIMIENTO]])</f>
        <v>51</v>
      </c>
      <c r="AM5" s="39">
        <v>15423</v>
      </c>
      <c r="AN5" s="40">
        <v>44942</v>
      </c>
      <c r="AO5" s="41">
        <v>69000000</v>
      </c>
      <c r="AP5" s="39"/>
      <c r="AQ5" s="39"/>
      <c r="AR5" s="39"/>
      <c r="AS5" s="45">
        <v>69000000</v>
      </c>
      <c r="AT5" s="39" t="s">
        <v>75</v>
      </c>
      <c r="AU5" s="40">
        <v>44943</v>
      </c>
      <c r="AV5" s="46" t="s">
        <v>74</v>
      </c>
      <c r="AW5" s="40">
        <v>44943</v>
      </c>
      <c r="AX5" s="40">
        <v>45290</v>
      </c>
      <c r="AY5" s="38">
        <f t="shared" si="0"/>
        <v>347</v>
      </c>
      <c r="AZ5" s="39" t="s">
        <v>206</v>
      </c>
      <c r="BA5" s="39">
        <v>19462757</v>
      </c>
      <c r="BB5" s="41"/>
      <c r="BC5" s="43"/>
      <c r="BD5" s="39"/>
      <c r="BE5" s="39"/>
      <c r="BF5" s="39"/>
      <c r="BG5" s="43"/>
      <c r="BH5" s="39"/>
      <c r="BI5" s="43"/>
      <c r="BJ5" s="41">
        <f>(Tabla13[[#This Row],[VALOR TOTAL CONTRATO + VF]]+Tabla13[[#This Row],[ADICION 1 ]]+Tabla13[[#This Row],[ADICION 2]]-Tabla13[[#This Row],[LIBERACION]])</f>
        <v>69000000</v>
      </c>
      <c r="BK5" s="39"/>
      <c r="BL5" s="43"/>
      <c r="BM5" s="43"/>
      <c r="BN5" s="39"/>
      <c r="BO5" s="39"/>
      <c r="BP5" s="43"/>
      <c r="BQ5" s="39"/>
      <c r="BR5" s="41"/>
      <c r="BS5" s="43"/>
      <c r="BT5" s="39">
        <f t="shared" si="1"/>
        <v>347</v>
      </c>
      <c r="BU5" s="43"/>
      <c r="BV5" s="46"/>
    </row>
    <row r="6" spans="1:74" ht="15" customHeight="1" x14ac:dyDescent="0.25">
      <c r="A6" s="36" t="s">
        <v>459</v>
      </c>
      <c r="B6" s="37" t="s">
        <v>460</v>
      </c>
      <c r="C6" s="38" t="s">
        <v>54</v>
      </c>
      <c r="D6" s="39">
        <v>167</v>
      </c>
      <c r="E6" s="39" t="s">
        <v>221</v>
      </c>
      <c r="F6" s="39" t="s">
        <v>207</v>
      </c>
      <c r="G6" s="39" t="s">
        <v>208</v>
      </c>
      <c r="H6" s="39" t="s">
        <v>57</v>
      </c>
      <c r="I6" s="40">
        <v>44938</v>
      </c>
      <c r="J6" s="39" t="s">
        <v>59</v>
      </c>
      <c r="K6" s="39" t="s">
        <v>60</v>
      </c>
      <c r="L6" s="39" t="s">
        <v>61</v>
      </c>
      <c r="M6" s="39" t="s">
        <v>209</v>
      </c>
      <c r="N6" s="39" t="s">
        <v>202</v>
      </c>
      <c r="O6" s="39" t="s">
        <v>203</v>
      </c>
      <c r="P6" s="41">
        <v>92000000</v>
      </c>
      <c r="Q6" s="41">
        <v>92000000</v>
      </c>
      <c r="R6" s="39">
        <v>9323</v>
      </c>
      <c r="S6" s="39" t="s">
        <v>63</v>
      </c>
      <c r="T6" s="39" t="s">
        <v>64</v>
      </c>
      <c r="U6" s="39" t="s">
        <v>65</v>
      </c>
      <c r="V6" s="39"/>
      <c r="W6" s="39" t="s">
        <v>210</v>
      </c>
      <c r="X6" s="39" t="s">
        <v>57</v>
      </c>
      <c r="Y6" s="40">
        <v>44942</v>
      </c>
      <c r="Z6" s="39" t="s">
        <v>67</v>
      </c>
      <c r="AA6" s="39"/>
      <c r="AB6" s="39" t="s">
        <v>68</v>
      </c>
      <c r="AC6" s="39" t="s">
        <v>69</v>
      </c>
      <c r="AD6" s="39" t="s">
        <v>211</v>
      </c>
      <c r="AE6" s="39">
        <v>1049617134</v>
      </c>
      <c r="AF6" s="39" t="s">
        <v>141</v>
      </c>
      <c r="AG6" s="39" t="s">
        <v>605</v>
      </c>
      <c r="AH6" s="39" t="s">
        <v>551</v>
      </c>
      <c r="AI6" s="39" t="s">
        <v>467</v>
      </c>
      <c r="AJ6" s="42" t="s">
        <v>517</v>
      </c>
      <c r="AK6" s="43">
        <v>32682</v>
      </c>
      <c r="AL6" s="44">
        <f ca="1">+YEAR(TODAY())-YEAR(Tabla13[[#This Row],[FECHA DE NACIMIENTO]])</f>
        <v>34</v>
      </c>
      <c r="AM6" s="39">
        <v>15023</v>
      </c>
      <c r="AN6" s="40">
        <v>44942</v>
      </c>
      <c r="AO6" s="41">
        <v>92000000</v>
      </c>
      <c r="AP6" s="39"/>
      <c r="AQ6" s="39"/>
      <c r="AR6" s="39"/>
      <c r="AS6" s="45">
        <v>92000000</v>
      </c>
      <c r="AT6" s="39" t="s">
        <v>75</v>
      </c>
      <c r="AU6" s="40">
        <v>44942</v>
      </c>
      <c r="AV6" s="46" t="s">
        <v>74</v>
      </c>
      <c r="AW6" s="40">
        <v>44942</v>
      </c>
      <c r="AX6" s="40">
        <v>45291</v>
      </c>
      <c r="AY6" s="38">
        <f t="shared" si="0"/>
        <v>349</v>
      </c>
      <c r="AZ6" s="39" t="s">
        <v>212</v>
      </c>
      <c r="BA6" s="39">
        <v>74852744</v>
      </c>
      <c r="BB6" s="41"/>
      <c r="BC6" s="43"/>
      <c r="BD6" s="39"/>
      <c r="BE6" s="39"/>
      <c r="BF6" s="39"/>
      <c r="BG6" s="43"/>
      <c r="BH6" s="39"/>
      <c r="BI6" s="43"/>
      <c r="BJ6" s="41">
        <f>(Tabla13[[#This Row],[VALOR TOTAL CONTRATO + VF]]+Tabla13[[#This Row],[ADICION 1 ]]+Tabla13[[#This Row],[ADICION 2]]-Tabla13[[#This Row],[LIBERACION]])</f>
        <v>92000000</v>
      </c>
      <c r="BK6" s="39"/>
      <c r="BL6" s="43"/>
      <c r="BM6" s="43"/>
      <c r="BN6" s="39"/>
      <c r="BO6" s="39"/>
      <c r="BP6" s="43"/>
      <c r="BQ6" s="39"/>
      <c r="BR6" s="41"/>
      <c r="BS6" s="43"/>
      <c r="BT6" s="39">
        <f t="shared" si="1"/>
        <v>349</v>
      </c>
      <c r="BU6" s="43"/>
      <c r="BV6" s="46"/>
    </row>
    <row r="7" spans="1:74" ht="15" customHeight="1" x14ac:dyDescent="0.25">
      <c r="A7" s="36" t="s">
        <v>459</v>
      </c>
      <c r="B7" s="37" t="s">
        <v>460</v>
      </c>
      <c r="C7" s="38" t="s">
        <v>54</v>
      </c>
      <c r="D7" s="39">
        <v>166</v>
      </c>
      <c r="E7" s="39" t="s">
        <v>55</v>
      </c>
      <c r="F7" s="39" t="s">
        <v>56</v>
      </c>
      <c r="G7" s="39" t="s">
        <v>58</v>
      </c>
      <c r="H7" s="39" t="s">
        <v>57</v>
      </c>
      <c r="I7" s="40">
        <v>44939</v>
      </c>
      <c r="J7" s="39" t="s">
        <v>59</v>
      </c>
      <c r="K7" s="39" t="s">
        <v>60</v>
      </c>
      <c r="L7" s="39" t="s">
        <v>61</v>
      </c>
      <c r="M7" s="39" t="s">
        <v>79</v>
      </c>
      <c r="N7" s="39">
        <v>80111600</v>
      </c>
      <c r="O7" s="39" t="s">
        <v>62</v>
      </c>
      <c r="P7" s="41">
        <v>69000000</v>
      </c>
      <c r="Q7" s="41">
        <v>69000000</v>
      </c>
      <c r="R7" s="39">
        <v>11723</v>
      </c>
      <c r="S7" s="39" t="s">
        <v>63</v>
      </c>
      <c r="T7" s="39" t="s">
        <v>64</v>
      </c>
      <c r="U7" s="39" t="s">
        <v>65</v>
      </c>
      <c r="V7" s="39"/>
      <c r="W7" s="39" t="s">
        <v>70</v>
      </c>
      <c r="X7" s="39" t="s">
        <v>57</v>
      </c>
      <c r="Y7" s="40">
        <v>44942</v>
      </c>
      <c r="Z7" s="39" t="s">
        <v>67</v>
      </c>
      <c r="AA7" s="39"/>
      <c r="AB7" s="39" t="s">
        <v>68</v>
      </c>
      <c r="AC7" s="39" t="s">
        <v>69</v>
      </c>
      <c r="AD7" s="39" t="s">
        <v>71</v>
      </c>
      <c r="AE7" s="39">
        <v>1020779282</v>
      </c>
      <c r="AF7" s="39"/>
      <c r="AG7" s="39"/>
      <c r="AH7" s="39"/>
      <c r="AI7" s="39"/>
      <c r="AJ7" s="39"/>
      <c r="AK7" s="43">
        <v>34779</v>
      </c>
      <c r="AL7" s="44">
        <f ca="1">+YEAR(TODAY())-YEAR(Tabla13[[#This Row],[FECHA DE NACIMIENTO]])</f>
        <v>28</v>
      </c>
      <c r="AM7" s="39">
        <v>15223</v>
      </c>
      <c r="AN7" s="40">
        <v>44942</v>
      </c>
      <c r="AO7" s="41">
        <v>69000000</v>
      </c>
      <c r="AP7" s="39"/>
      <c r="AQ7" s="39"/>
      <c r="AR7" s="39"/>
      <c r="AS7" s="45">
        <v>69000000</v>
      </c>
      <c r="AT7" s="39" t="s">
        <v>75</v>
      </c>
      <c r="AU7" s="40">
        <v>44942</v>
      </c>
      <c r="AV7" s="46" t="s">
        <v>74</v>
      </c>
      <c r="AW7" s="40">
        <v>44942</v>
      </c>
      <c r="AX7" s="40">
        <v>45290</v>
      </c>
      <c r="AY7" s="38">
        <f t="shared" si="0"/>
        <v>348</v>
      </c>
      <c r="AZ7" s="39" t="s">
        <v>206</v>
      </c>
      <c r="BA7" s="39">
        <v>19462757</v>
      </c>
      <c r="BB7" s="41"/>
      <c r="BC7" s="43"/>
      <c r="BD7" s="39"/>
      <c r="BE7" s="39"/>
      <c r="BF7" s="39"/>
      <c r="BG7" s="43"/>
      <c r="BH7" s="39"/>
      <c r="BI7" s="43"/>
      <c r="BJ7" s="41">
        <f>(Tabla13[[#This Row],[VALOR TOTAL CONTRATO + VF]]+Tabla13[[#This Row],[ADICION 1 ]]+Tabla13[[#This Row],[ADICION 2]]-Tabla13[[#This Row],[LIBERACION]])</f>
        <v>69000000</v>
      </c>
      <c r="BK7" s="39"/>
      <c r="BL7" s="43"/>
      <c r="BM7" s="43"/>
      <c r="BN7" s="39"/>
      <c r="BO7" s="39"/>
      <c r="BP7" s="43"/>
      <c r="BQ7" s="39"/>
      <c r="BR7" s="41"/>
      <c r="BS7" s="43"/>
      <c r="BT7" s="39">
        <f t="shared" si="1"/>
        <v>348</v>
      </c>
      <c r="BU7" s="43"/>
      <c r="BV7" s="46"/>
    </row>
    <row r="8" spans="1:74" ht="15" customHeight="1" x14ac:dyDescent="0.25">
      <c r="A8" s="36" t="s">
        <v>459</v>
      </c>
      <c r="B8" s="37" t="s">
        <v>460</v>
      </c>
      <c r="C8" s="38" t="s">
        <v>54</v>
      </c>
      <c r="D8" s="39">
        <v>1</v>
      </c>
      <c r="E8" s="39" t="s">
        <v>55</v>
      </c>
      <c r="F8" s="39" t="s">
        <v>98</v>
      </c>
      <c r="G8" s="39" t="s">
        <v>102</v>
      </c>
      <c r="H8" s="39" t="s">
        <v>57</v>
      </c>
      <c r="I8" s="40">
        <v>44939</v>
      </c>
      <c r="J8" s="39" t="s">
        <v>59</v>
      </c>
      <c r="K8" s="39" t="s">
        <v>60</v>
      </c>
      <c r="L8" s="39" t="s">
        <v>99</v>
      </c>
      <c r="M8" s="39" t="s">
        <v>100</v>
      </c>
      <c r="N8" s="39">
        <v>80161504</v>
      </c>
      <c r="O8" s="39" t="s">
        <v>62</v>
      </c>
      <c r="P8" s="41">
        <v>86250000</v>
      </c>
      <c r="Q8" s="41">
        <v>86250000</v>
      </c>
      <c r="R8" s="39">
        <v>13923</v>
      </c>
      <c r="S8" s="39" t="s">
        <v>63</v>
      </c>
      <c r="T8" s="39" t="s">
        <v>64</v>
      </c>
      <c r="U8" s="39" t="s">
        <v>65</v>
      </c>
      <c r="V8" s="39"/>
      <c r="W8" s="39" t="s">
        <v>66</v>
      </c>
      <c r="X8" s="39" t="s">
        <v>57</v>
      </c>
      <c r="Y8" s="40">
        <v>44939</v>
      </c>
      <c r="Z8" s="39" t="s">
        <v>67</v>
      </c>
      <c r="AA8" s="39"/>
      <c r="AB8" s="39" t="s">
        <v>68</v>
      </c>
      <c r="AC8" s="39" t="s">
        <v>69</v>
      </c>
      <c r="AD8" s="39" t="s">
        <v>419</v>
      </c>
      <c r="AE8" s="39">
        <v>91517570</v>
      </c>
      <c r="AF8" s="39"/>
      <c r="AG8" s="39"/>
      <c r="AH8" s="39"/>
      <c r="AI8" s="39"/>
      <c r="AJ8" s="39"/>
      <c r="AK8" s="39"/>
      <c r="AL8" s="44">
        <f ca="1">+YEAR(TODAY())-YEAR(Tabla13[[#This Row],[FECHA DE NACIMIENTO]])</f>
        <v>123</v>
      </c>
      <c r="AM8" s="39">
        <v>15123</v>
      </c>
      <c r="AN8" s="40">
        <v>44942</v>
      </c>
      <c r="AO8" s="41">
        <v>86250000</v>
      </c>
      <c r="AP8" s="39"/>
      <c r="AQ8" s="39"/>
      <c r="AR8" s="39"/>
      <c r="AS8" s="45">
        <v>86250000</v>
      </c>
      <c r="AT8" s="39" t="s">
        <v>75</v>
      </c>
      <c r="AU8" s="40">
        <v>44942</v>
      </c>
      <c r="AV8" s="46" t="s">
        <v>74</v>
      </c>
      <c r="AW8" s="40">
        <v>44942</v>
      </c>
      <c r="AX8" s="40">
        <v>45291</v>
      </c>
      <c r="AY8" s="38">
        <f t="shared" si="0"/>
        <v>349</v>
      </c>
      <c r="AZ8" s="39" t="s">
        <v>437</v>
      </c>
      <c r="BA8" s="39">
        <v>393757630</v>
      </c>
      <c r="BB8" s="41"/>
      <c r="BC8" s="43"/>
      <c r="BD8" s="39"/>
      <c r="BE8" s="39"/>
      <c r="BF8" s="39"/>
      <c r="BG8" s="43"/>
      <c r="BH8" s="39"/>
      <c r="BI8" s="43"/>
      <c r="BJ8" s="41">
        <f>(Tabla13[[#This Row],[VALOR TOTAL CONTRATO + VF]]+Tabla13[[#This Row],[ADICION 1 ]]+Tabla13[[#This Row],[ADICION 2]]-Tabla13[[#This Row],[LIBERACION]])</f>
        <v>86250000</v>
      </c>
      <c r="BK8" s="39"/>
      <c r="BL8" s="43"/>
      <c r="BM8" s="43"/>
      <c r="BN8" s="39"/>
      <c r="BO8" s="39"/>
      <c r="BP8" s="43"/>
      <c r="BQ8" s="39"/>
      <c r="BR8" s="41"/>
      <c r="BS8" s="43"/>
      <c r="BT8" s="39">
        <f t="shared" si="1"/>
        <v>349</v>
      </c>
      <c r="BU8" s="43"/>
      <c r="BV8" s="46"/>
    </row>
    <row r="9" spans="1:74" ht="15" customHeight="1" x14ac:dyDescent="0.25">
      <c r="A9" s="36" t="s">
        <v>459</v>
      </c>
      <c r="B9" s="37" t="s">
        <v>460</v>
      </c>
      <c r="C9" s="38" t="s">
        <v>54</v>
      </c>
      <c r="D9" s="39">
        <v>12</v>
      </c>
      <c r="E9" s="39" t="s">
        <v>409</v>
      </c>
      <c r="F9" s="39" t="s">
        <v>346</v>
      </c>
      <c r="G9" s="39" t="s">
        <v>347</v>
      </c>
      <c r="H9" s="39" t="s">
        <v>57</v>
      </c>
      <c r="I9" s="40">
        <v>44939</v>
      </c>
      <c r="J9" s="39" t="s">
        <v>59</v>
      </c>
      <c r="K9" s="39" t="s">
        <v>60</v>
      </c>
      <c r="L9" s="39" t="s">
        <v>150</v>
      </c>
      <c r="M9" s="39" t="s">
        <v>348</v>
      </c>
      <c r="N9" s="39" t="s">
        <v>731</v>
      </c>
      <c r="O9" s="39" t="s">
        <v>732</v>
      </c>
      <c r="P9" s="41">
        <v>69000000</v>
      </c>
      <c r="Q9" s="41">
        <v>69000000</v>
      </c>
      <c r="R9" s="39">
        <v>10423</v>
      </c>
      <c r="S9" s="39" t="s">
        <v>349</v>
      </c>
      <c r="T9" s="39" t="s">
        <v>64</v>
      </c>
      <c r="U9" s="39" t="s">
        <v>65</v>
      </c>
      <c r="V9" s="39"/>
      <c r="W9" s="39" t="s">
        <v>350</v>
      </c>
      <c r="X9" s="39" t="s">
        <v>57</v>
      </c>
      <c r="Y9" s="40">
        <v>44944</v>
      </c>
      <c r="Z9" s="39" t="s">
        <v>67</v>
      </c>
      <c r="AA9" s="39"/>
      <c r="AB9" s="39" t="s">
        <v>68</v>
      </c>
      <c r="AC9" s="39" t="s">
        <v>69</v>
      </c>
      <c r="AD9" s="39" t="s">
        <v>432</v>
      </c>
      <c r="AE9" s="39">
        <v>42867450</v>
      </c>
      <c r="AF9" s="39"/>
      <c r="AG9" s="39" t="s">
        <v>733</v>
      </c>
      <c r="AH9" s="39" t="s">
        <v>551</v>
      </c>
      <c r="AI9" s="39"/>
      <c r="AJ9" s="39"/>
      <c r="AK9" s="39">
        <v>21273</v>
      </c>
      <c r="AL9" s="44" t="e">
        <f ca="1">+YEAR(TODAY())-YEAR([1]!Tabla1[[#This Row],[FECHA DE NACIMIENTO]])</f>
        <v>#REF!</v>
      </c>
      <c r="AM9" s="39">
        <v>20023</v>
      </c>
      <c r="AN9" s="40">
        <v>44945</v>
      </c>
      <c r="AO9" s="41">
        <v>69000000</v>
      </c>
      <c r="AP9" s="39"/>
      <c r="AQ9" s="39"/>
      <c r="AR9" s="39"/>
      <c r="AS9" s="45">
        <f>SUM(AO9+AP9+AQ9+AR9)</f>
        <v>69000000</v>
      </c>
      <c r="AT9" s="39" t="s">
        <v>75</v>
      </c>
      <c r="AU9" s="40">
        <v>44945</v>
      </c>
      <c r="AV9" s="46" t="s">
        <v>74</v>
      </c>
      <c r="AW9" s="40">
        <v>44946</v>
      </c>
      <c r="AX9" s="40">
        <v>45291</v>
      </c>
      <c r="AY9" s="38">
        <f t="shared" si="0"/>
        <v>345</v>
      </c>
      <c r="AZ9" s="39" t="s">
        <v>156</v>
      </c>
      <c r="BA9" s="39">
        <v>79276876</v>
      </c>
      <c r="BB9" s="41"/>
      <c r="BC9" s="43"/>
      <c r="BD9" s="39"/>
      <c r="BE9" s="39"/>
      <c r="BF9" s="39"/>
      <c r="BG9" s="43"/>
      <c r="BH9" s="39"/>
      <c r="BI9" s="43"/>
      <c r="BJ9" s="41" t="e">
        <f>([1]!Tabla1[[#This Row],[VALOR TOTAL CONTRATO + VF]]+[1]!Tabla1[[#This Row],[ADICION 1 ]]+[1]!Tabla1[[#This Row],[ADICION 2]]-[1]!Tabla1[[#This Row],[LIBERACION]])</f>
        <v>#REF!</v>
      </c>
      <c r="BK9" s="39"/>
      <c r="BL9" s="43"/>
      <c r="BM9" s="43"/>
      <c r="BN9" s="39"/>
      <c r="BO9" s="39"/>
      <c r="BP9" s="43"/>
      <c r="BQ9" s="39"/>
      <c r="BR9" s="41"/>
      <c r="BS9" s="43"/>
      <c r="BT9" s="39">
        <f t="shared" si="1"/>
        <v>345</v>
      </c>
      <c r="BU9" s="43"/>
      <c r="BV9" s="46"/>
    </row>
    <row r="10" spans="1:74" ht="15" customHeight="1" x14ac:dyDescent="0.25">
      <c r="A10" s="36" t="s">
        <v>459</v>
      </c>
      <c r="B10" s="37" t="s">
        <v>460</v>
      </c>
      <c r="C10" s="38" t="s">
        <v>54</v>
      </c>
      <c r="D10" s="39">
        <v>9</v>
      </c>
      <c r="E10" s="39" t="s">
        <v>409</v>
      </c>
      <c r="F10" s="39" t="s">
        <v>351</v>
      </c>
      <c r="G10" s="39" t="s">
        <v>352</v>
      </c>
      <c r="H10" s="39" t="s">
        <v>57</v>
      </c>
      <c r="I10" s="40">
        <v>44939</v>
      </c>
      <c r="J10" s="39" t="s">
        <v>59</v>
      </c>
      <c r="K10" s="39" t="s">
        <v>60</v>
      </c>
      <c r="L10" s="39" t="s">
        <v>150</v>
      </c>
      <c r="M10" s="39" t="s">
        <v>353</v>
      </c>
      <c r="N10" s="39" t="s">
        <v>734</v>
      </c>
      <c r="O10" s="39" t="s">
        <v>732</v>
      </c>
      <c r="P10" s="41">
        <v>69000000</v>
      </c>
      <c r="Q10" s="41">
        <v>69000000</v>
      </c>
      <c r="R10" s="39">
        <v>12323</v>
      </c>
      <c r="S10" s="39" t="s">
        <v>349</v>
      </c>
      <c r="T10" s="39" t="s">
        <v>64</v>
      </c>
      <c r="U10" s="39" t="s">
        <v>65</v>
      </c>
      <c r="V10" s="39"/>
      <c r="W10" s="39" t="s">
        <v>354</v>
      </c>
      <c r="X10" s="39" t="s">
        <v>57</v>
      </c>
      <c r="Y10" s="40">
        <v>44943</v>
      </c>
      <c r="Z10" s="39" t="s">
        <v>67</v>
      </c>
      <c r="AA10" s="39"/>
      <c r="AB10" s="39" t="s">
        <v>68</v>
      </c>
      <c r="AC10" s="39" t="s">
        <v>69</v>
      </c>
      <c r="AD10" s="39" t="s">
        <v>433</v>
      </c>
      <c r="AE10" s="39">
        <v>93461864</v>
      </c>
      <c r="AF10" s="39"/>
      <c r="AG10" s="39" t="s">
        <v>735</v>
      </c>
      <c r="AH10" s="39" t="s">
        <v>551</v>
      </c>
      <c r="AI10" s="39"/>
      <c r="AJ10" s="39"/>
      <c r="AK10" s="39">
        <v>31076</v>
      </c>
      <c r="AL10" s="44" t="e">
        <f ca="1">+YEAR(TODAY())-YEAR([1]!Tabla1[[#This Row],[FECHA DE NACIMIENTO]])</f>
        <v>#REF!</v>
      </c>
      <c r="AM10" s="39">
        <v>16523</v>
      </c>
      <c r="AN10" s="40">
        <v>44943</v>
      </c>
      <c r="AO10" s="41">
        <v>69000000</v>
      </c>
      <c r="AP10" s="39"/>
      <c r="AQ10" s="39"/>
      <c r="AR10" s="39"/>
      <c r="AS10" s="45">
        <f>SUM(AO10+AP10+AQ10+AR10)</f>
        <v>69000000</v>
      </c>
      <c r="AT10" s="39" t="s">
        <v>75</v>
      </c>
      <c r="AU10" s="40">
        <v>44943</v>
      </c>
      <c r="AV10" s="46" t="s">
        <v>74</v>
      </c>
      <c r="AW10" s="40">
        <v>44944</v>
      </c>
      <c r="AX10" s="40">
        <v>45291</v>
      </c>
      <c r="AY10" s="38">
        <f t="shared" si="0"/>
        <v>347</v>
      </c>
      <c r="AZ10" s="39" t="s">
        <v>156</v>
      </c>
      <c r="BA10" s="39">
        <v>79276876</v>
      </c>
      <c r="BB10" s="41"/>
      <c r="BC10" s="43"/>
      <c r="BD10" s="39"/>
      <c r="BE10" s="39"/>
      <c r="BF10" s="39"/>
      <c r="BG10" s="43"/>
      <c r="BH10" s="39"/>
      <c r="BI10" s="43"/>
      <c r="BJ10" s="41" t="e">
        <f>([1]!Tabla1[[#This Row],[VALOR TOTAL CONTRATO + VF]]+[1]!Tabla1[[#This Row],[ADICION 1 ]]+[1]!Tabla1[[#This Row],[ADICION 2]]-[1]!Tabla1[[#This Row],[LIBERACION]])</f>
        <v>#REF!</v>
      </c>
      <c r="BK10" s="39"/>
      <c r="BL10" s="43"/>
      <c r="BM10" s="43"/>
      <c r="BN10" s="39"/>
      <c r="BO10" s="39"/>
      <c r="BP10" s="43"/>
      <c r="BQ10" s="39"/>
      <c r="BR10" s="41"/>
      <c r="BS10" s="43"/>
      <c r="BT10" s="39">
        <f t="shared" si="1"/>
        <v>347</v>
      </c>
      <c r="BU10" s="43"/>
      <c r="BV10" s="46"/>
    </row>
    <row r="11" spans="1:74" ht="15" customHeight="1" x14ac:dyDescent="0.25">
      <c r="A11" s="36" t="s">
        <v>459</v>
      </c>
      <c r="B11" s="37" t="s">
        <v>460</v>
      </c>
      <c r="C11" s="38" t="s">
        <v>54</v>
      </c>
      <c r="D11" s="39">
        <v>14</v>
      </c>
      <c r="E11" s="39" t="s">
        <v>409</v>
      </c>
      <c r="F11" s="39" t="s">
        <v>355</v>
      </c>
      <c r="G11" s="39" t="s">
        <v>356</v>
      </c>
      <c r="H11" s="39" t="s">
        <v>57</v>
      </c>
      <c r="I11" s="40">
        <v>44939</v>
      </c>
      <c r="J11" s="39" t="s">
        <v>59</v>
      </c>
      <c r="K11" s="39" t="s">
        <v>60</v>
      </c>
      <c r="L11" s="39" t="s">
        <v>150</v>
      </c>
      <c r="M11" s="39" t="s">
        <v>357</v>
      </c>
      <c r="N11" s="39" t="s">
        <v>358</v>
      </c>
      <c r="O11" s="39" t="s">
        <v>732</v>
      </c>
      <c r="P11" s="41">
        <v>57500000</v>
      </c>
      <c r="Q11" s="41">
        <v>57500000</v>
      </c>
      <c r="R11" s="39">
        <v>11123</v>
      </c>
      <c r="S11" s="39" t="s">
        <v>349</v>
      </c>
      <c r="T11" s="39" t="s">
        <v>64</v>
      </c>
      <c r="U11" s="39" t="s">
        <v>65</v>
      </c>
      <c r="V11" s="39"/>
      <c r="W11" s="39" t="s">
        <v>359</v>
      </c>
      <c r="X11" s="39" t="s">
        <v>57</v>
      </c>
      <c r="Y11" s="40">
        <v>44943</v>
      </c>
      <c r="Z11" s="39" t="s">
        <v>67</v>
      </c>
      <c r="AA11" s="39"/>
      <c r="AB11" s="39" t="s">
        <v>68</v>
      </c>
      <c r="AC11" s="39" t="s">
        <v>69</v>
      </c>
      <c r="AD11" s="39" t="s">
        <v>434</v>
      </c>
      <c r="AE11" s="39">
        <v>1019022177</v>
      </c>
      <c r="AF11" s="39"/>
      <c r="AG11" s="39" t="s">
        <v>736</v>
      </c>
      <c r="AH11" s="39" t="s">
        <v>551</v>
      </c>
      <c r="AI11" s="39"/>
      <c r="AJ11" s="39"/>
      <c r="AK11" s="39">
        <v>32190</v>
      </c>
      <c r="AL11" s="44" t="e">
        <f ca="1">+YEAR(TODAY())-YEAR([1]!Tabla1[[#This Row],[FECHA DE NACIMIENTO]])</f>
        <v>#REF!</v>
      </c>
      <c r="AM11" s="39">
        <v>16623</v>
      </c>
      <c r="AN11" s="40">
        <v>44943</v>
      </c>
      <c r="AO11" s="41">
        <v>57500000</v>
      </c>
      <c r="AP11" s="39"/>
      <c r="AQ11" s="39"/>
      <c r="AR11" s="39"/>
      <c r="AS11" s="45">
        <f>SUM(AO11+AP11+AQ11+AR11)</f>
        <v>57500000</v>
      </c>
      <c r="AT11" s="39" t="s">
        <v>75</v>
      </c>
      <c r="AU11" s="40">
        <v>44945</v>
      </c>
      <c r="AV11" s="46" t="s">
        <v>74</v>
      </c>
      <c r="AW11" s="40">
        <v>44943</v>
      </c>
      <c r="AX11" s="40">
        <v>45291</v>
      </c>
      <c r="AY11" s="38">
        <f t="shared" si="0"/>
        <v>348</v>
      </c>
      <c r="AZ11" s="39" t="s">
        <v>156</v>
      </c>
      <c r="BA11" s="39">
        <v>79276876</v>
      </c>
      <c r="BB11" s="41"/>
      <c r="BC11" s="43"/>
      <c r="BD11" s="39"/>
      <c r="BE11" s="39"/>
      <c r="BF11" s="39"/>
      <c r="BG11" s="43"/>
      <c r="BH11" s="39"/>
      <c r="BI11" s="43"/>
      <c r="BJ11" s="41" t="e">
        <f>([1]!Tabla1[[#This Row],[VALOR TOTAL CONTRATO + VF]]+[1]!Tabla1[[#This Row],[ADICION 1 ]]+[1]!Tabla1[[#This Row],[ADICION 2]]-[1]!Tabla1[[#This Row],[LIBERACION]])</f>
        <v>#REF!</v>
      </c>
      <c r="BK11" s="39"/>
      <c r="BL11" s="43"/>
      <c r="BM11" s="43"/>
      <c r="BN11" s="39"/>
      <c r="BO11" s="39"/>
      <c r="BP11" s="43"/>
      <c r="BQ11" s="39"/>
      <c r="BR11" s="41"/>
      <c r="BS11" s="43"/>
      <c r="BT11" s="39">
        <f t="shared" si="1"/>
        <v>348</v>
      </c>
      <c r="BU11" s="43"/>
      <c r="BV11" s="46"/>
    </row>
    <row r="12" spans="1:74" ht="15" customHeight="1" x14ac:dyDescent="0.25">
      <c r="A12" s="36" t="s">
        <v>459</v>
      </c>
      <c r="B12" s="37" t="s">
        <v>460</v>
      </c>
      <c r="C12" s="38" t="s">
        <v>54</v>
      </c>
      <c r="D12" s="39">
        <v>116</v>
      </c>
      <c r="E12" s="39" t="s">
        <v>221</v>
      </c>
      <c r="F12" s="39" t="s">
        <v>186</v>
      </c>
      <c r="G12" s="39" t="s">
        <v>187</v>
      </c>
      <c r="H12" s="39" t="s">
        <v>57</v>
      </c>
      <c r="I12" s="40">
        <v>44939</v>
      </c>
      <c r="J12" s="39" t="s">
        <v>59</v>
      </c>
      <c r="K12" s="39" t="s">
        <v>60</v>
      </c>
      <c r="L12" s="39" t="s">
        <v>188</v>
      </c>
      <c r="M12" s="39" t="s">
        <v>189</v>
      </c>
      <c r="N12" s="39">
        <v>80161504</v>
      </c>
      <c r="O12" s="39" t="s">
        <v>138</v>
      </c>
      <c r="P12" s="41">
        <v>80000000</v>
      </c>
      <c r="Q12" s="41">
        <v>80000000</v>
      </c>
      <c r="R12" s="39">
        <v>12823</v>
      </c>
      <c r="S12" s="39" t="s">
        <v>63</v>
      </c>
      <c r="T12" s="39" t="s">
        <v>64</v>
      </c>
      <c r="U12" s="39" t="s">
        <v>65</v>
      </c>
      <c r="V12" s="39"/>
      <c r="W12" s="39" t="s">
        <v>190</v>
      </c>
      <c r="X12" s="39" t="s">
        <v>57</v>
      </c>
      <c r="Y12" s="40">
        <v>44943</v>
      </c>
      <c r="Z12" s="39" t="s">
        <v>67</v>
      </c>
      <c r="AA12" s="39"/>
      <c r="AB12" s="39" t="s">
        <v>68</v>
      </c>
      <c r="AC12" s="39" t="s">
        <v>69</v>
      </c>
      <c r="AD12" s="39" t="s">
        <v>191</v>
      </c>
      <c r="AE12" s="39">
        <v>1026271334</v>
      </c>
      <c r="AF12" s="39" t="s">
        <v>141</v>
      </c>
      <c r="AG12" s="39" t="s">
        <v>605</v>
      </c>
      <c r="AH12" s="39" t="s">
        <v>551</v>
      </c>
      <c r="AI12" s="39" t="s">
        <v>467</v>
      </c>
      <c r="AJ12" s="42" t="s">
        <v>517</v>
      </c>
      <c r="AK12" s="43">
        <v>33178</v>
      </c>
      <c r="AL12" s="44">
        <f ca="1">+YEAR(TODAY())-YEAR(Tabla13[[#This Row],[FECHA DE NACIMIENTO]])</f>
        <v>33</v>
      </c>
      <c r="AM12" s="39">
        <v>19323</v>
      </c>
      <c r="AN12" s="40">
        <v>44944</v>
      </c>
      <c r="AO12" s="41">
        <v>80000000</v>
      </c>
      <c r="AP12" s="39"/>
      <c r="AQ12" s="39"/>
      <c r="AR12" s="39"/>
      <c r="AS12" s="45">
        <v>80000000</v>
      </c>
      <c r="AT12" s="39" t="s">
        <v>75</v>
      </c>
      <c r="AU12" s="40">
        <v>44944</v>
      </c>
      <c r="AV12" s="46" t="s">
        <v>74</v>
      </c>
      <c r="AW12" s="40">
        <v>44945</v>
      </c>
      <c r="AX12" s="40">
        <v>45249</v>
      </c>
      <c r="AY12" s="38">
        <f t="shared" si="0"/>
        <v>304</v>
      </c>
      <c r="AZ12" s="39" t="s">
        <v>192</v>
      </c>
      <c r="BA12" s="39">
        <v>79321317</v>
      </c>
      <c r="BB12" s="41"/>
      <c r="BC12" s="43"/>
      <c r="BD12" s="39"/>
      <c r="BE12" s="39"/>
      <c r="BF12" s="39"/>
      <c r="BG12" s="43"/>
      <c r="BH12" s="39"/>
      <c r="BI12" s="43"/>
      <c r="BJ12" s="41">
        <f>(Tabla13[[#This Row],[VALOR TOTAL CONTRATO + VF]]+Tabla13[[#This Row],[ADICION 1 ]]+Tabla13[[#This Row],[ADICION 2]]-Tabla13[[#This Row],[LIBERACION]])</f>
        <v>80000000</v>
      </c>
      <c r="BK12" s="39"/>
      <c r="BL12" s="43"/>
      <c r="BM12" s="43"/>
      <c r="BN12" s="39"/>
      <c r="BO12" s="39"/>
      <c r="BP12" s="43"/>
      <c r="BQ12" s="39"/>
      <c r="BR12" s="41"/>
      <c r="BS12" s="43"/>
      <c r="BT12" s="39">
        <f t="shared" si="1"/>
        <v>304</v>
      </c>
      <c r="BU12" s="43"/>
      <c r="BV12" s="46"/>
    </row>
    <row r="13" spans="1:74" ht="15" customHeight="1" x14ac:dyDescent="0.25">
      <c r="A13" s="36" t="s">
        <v>459</v>
      </c>
      <c r="B13" s="37" t="s">
        <v>460</v>
      </c>
      <c r="C13" s="38" t="s">
        <v>54</v>
      </c>
      <c r="D13" s="39">
        <v>164</v>
      </c>
      <c r="E13" s="39" t="s">
        <v>221</v>
      </c>
      <c r="F13" s="39" t="s">
        <v>193</v>
      </c>
      <c r="G13" s="39" t="s">
        <v>194</v>
      </c>
      <c r="H13" s="39" t="s">
        <v>57</v>
      </c>
      <c r="I13" s="40">
        <v>44939</v>
      </c>
      <c r="J13" s="39" t="s">
        <v>59</v>
      </c>
      <c r="K13" s="39" t="s">
        <v>60</v>
      </c>
      <c r="L13" s="39" t="s">
        <v>61</v>
      </c>
      <c r="M13" s="39" t="s">
        <v>195</v>
      </c>
      <c r="N13" s="39">
        <v>80161504</v>
      </c>
      <c r="O13" s="39" t="s">
        <v>138</v>
      </c>
      <c r="P13" s="41">
        <v>69000000</v>
      </c>
      <c r="Q13" s="41">
        <v>69000000</v>
      </c>
      <c r="R13" s="39">
        <v>13723</v>
      </c>
      <c r="S13" s="39" t="s">
        <v>63</v>
      </c>
      <c r="T13" s="39" t="s">
        <v>64</v>
      </c>
      <c r="U13" s="39" t="s">
        <v>65</v>
      </c>
      <c r="V13" s="39"/>
      <c r="W13" s="39" t="s">
        <v>196</v>
      </c>
      <c r="X13" s="39" t="s">
        <v>57</v>
      </c>
      <c r="Y13" s="40">
        <v>44942</v>
      </c>
      <c r="Z13" s="39" t="s">
        <v>67</v>
      </c>
      <c r="AA13" s="39"/>
      <c r="AB13" s="39" t="s">
        <v>68</v>
      </c>
      <c r="AC13" s="39" t="s">
        <v>69</v>
      </c>
      <c r="AD13" s="39" t="s">
        <v>197</v>
      </c>
      <c r="AE13" s="39">
        <v>19484940</v>
      </c>
      <c r="AF13" s="39" t="s">
        <v>141</v>
      </c>
      <c r="AG13" s="39" t="s">
        <v>606</v>
      </c>
      <c r="AH13" s="39" t="s">
        <v>551</v>
      </c>
      <c r="AI13" s="39" t="s">
        <v>467</v>
      </c>
      <c r="AJ13" s="42" t="s">
        <v>517</v>
      </c>
      <c r="AK13" s="43">
        <v>22856</v>
      </c>
      <c r="AL13" s="44">
        <f ca="1">+YEAR(TODAY())-YEAR(Tabla13[[#This Row],[FECHA DE NACIMIENTO]])</f>
        <v>61</v>
      </c>
      <c r="AM13" s="39">
        <v>16423</v>
      </c>
      <c r="AN13" s="40">
        <v>44943</v>
      </c>
      <c r="AO13" s="41">
        <v>69000000</v>
      </c>
      <c r="AP13" s="39"/>
      <c r="AQ13" s="39"/>
      <c r="AR13" s="39"/>
      <c r="AS13" s="45">
        <v>69000000</v>
      </c>
      <c r="AT13" s="39" t="s">
        <v>75</v>
      </c>
      <c r="AU13" s="40">
        <v>44944</v>
      </c>
      <c r="AV13" s="46" t="s">
        <v>74</v>
      </c>
      <c r="AW13" s="40">
        <v>44944</v>
      </c>
      <c r="AX13" s="40">
        <v>45291</v>
      </c>
      <c r="AY13" s="38">
        <f t="shared" si="0"/>
        <v>347</v>
      </c>
      <c r="AZ13" s="39" t="s">
        <v>198</v>
      </c>
      <c r="BA13" s="39">
        <v>39759737</v>
      </c>
      <c r="BB13" s="41"/>
      <c r="BC13" s="43"/>
      <c r="BD13" s="39"/>
      <c r="BE13" s="39"/>
      <c r="BF13" s="39"/>
      <c r="BG13" s="43"/>
      <c r="BH13" s="39"/>
      <c r="BI13" s="43"/>
      <c r="BJ13" s="41">
        <f>(Tabla13[[#This Row],[VALOR TOTAL CONTRATO + VF]]+Tabla13[[#This Row],[ADICION 1 ]]+Tabla13[[#This Row],[ADICION 2]]-Tabla13[[#This Row],[LIBERACION]])</f>
        <v>69000000</v>
      </c>
      <c r="BK13" s="39"/>
      <c r="BL13" s="43"/>
      <c r="BM13" s="43"/>
      <c r="BN13" s="39"/>
      <c r="BO13" s="39"/>
      <c r="BP13" s="43"/>
      <c r="BQ13" s="39"/>
      <c r="BR13" s="41"/>
      <c r="BS13" s="43"/>
      <c r="BT13" s="39">
        <f t="shared" si="1"/>
        <v>347</v>
      </c>
      <c r="BU13" s="43"/>
      <c r="BV13" s="46"/>
    </row>
    <row r="14" spans="1:74" ht="15" customHeight="1" x14ac:dyDescent="0.25">
      <c r="A14" s="36" t="s">
        <v>459</v>
      </c>
      <c r="B14" s="37" t="s">
        <v>460</v>
      </c>
      <c r="C14" s="38" t="s">
        <v>54</v>
      </c>
      <c r="D14" s="39">
        <v>271</v>
      </c>
      <c r="E14" s="39" t="s">
        <v>221</v>
      </c>
      <c r="F14" s="39" t="s">
        <v>213</v>
      </c>
      <c r="G14" s="39" t="s">
        <v>214</v>
      </c>
      <c r="H14" s="39" t="s">
        <v>57</v>
      </c>
      <c r="I14" s="40">
        <v>44939</v>
      </c>
      <c r="J14" s="39" t="s">
        <v>59</v>
      </c>
      <c r="K14" s="39" t="s">
        <v>60</v>
      </c>
      <c r="L14" s="39" t="s">
        <v>215</v>
      </c>
      <c r="M14" s="39" t="s">
        <v>216</v>
      </c>
      <c r="N14" s="39" t="s">
        <v>217</v>
      </c>
      <c r="O14" s="39" t="s">
        <v>218</v>
      </c>
      <c r="P14" s="41">
        <v>69000000</v>
      </c>
      <c r="Q14" s="41">
        <v>69000000</v>
      </c>
      <c r="R14" s="39">
        <v>4223</v>
      </c>
      <c r="S14" s="39" t="s">
        <v>63</v>
      </c>
      <c r="T14" s="39" t="s">
        <v>64</v>
      </c>
      <c r="U14" s="39" t="s">
        <v>65</v>
      </c>
      <c r="V14" s="39"/>
      <c r="W14" s="39" t="s">
        <v>219</v>
      </c>
      <c r="X14" s="39" t="s">
        <v>57</v>
      </c>
      <c r="Y14" s="40">
        <v>44942</v>
      </c>
      <c r="Z14" s="39" t="s">
        <v>67</v>
      </c>
      <c r="AA14" s="39"/>
      <c r="AB14" s="39" t="s">
        <v>68</v>
      </c>
      <c r="AC14" s="39" t="s">
        <v>69</v>
      </c>
      <c r="AD14" s="39" t="s">
        <v>424</v>
      </c>
      <c r="AE14" s="39">
        <v>78750941</v>
      </c>
      <c r="AF14" s="39" t="s">
        <v>141</v>
      </c>
      <c r="AG14" s="39" t="s">
        <v>607</v>
      </c>
      <c r="AH14" s="39" t="s">
        <v>551</v>
      </c>
      <c r="AI14" s="39" t="s">
        <v>467</v>
      </c>
      <c r="AJ14" s="42" t="s">
        <v>517</v>
      </c>
      <c r="AK14" s="43">
        <v>28077</v>
      </c>
      <c r="AL14" s="44">
        <f ca="1">+YEAR(TODAY())-YEAR(Tabla13[[#This Row],[FECHA DE NACIMIENTO]])</f>
        <v>47</v>
      </c>
      <c r="AM14" s="39">
        <v>15823</v>
      </c>
      <c r="AN14" s="40">
        <v>44942</v>
      </c>
      <c r="AO14" s="41">
        <v>69000000</v>
      </c>
      <c r="AP14" s="39"/>
      <c r="AQ14" s="39"/>
      <c r="AR14" s="39"/>
      <c r="AS14" s="45">
        <v>69000000</v>
      </c>
      <c r="AT14" s="39" t="s">
        <v>75</v>
      </c>
      <c r="AU14" s="40">
        <v>44942</v>
      </c>
      <c r="AV14" s="46" t="s">
        <v>74</v>
      </c>
      <c r="AW14" s="40">
        <v>44943</v>
      </c>
      <c r="AX14" s="40">
        <v>45291</v>
      </c>
      <c r="AY14" s="38">
        <f t="shared" si="0"/>
        <v>348</v>
      </c>
      <c r="AZ14" s="39" t="s">
        <v>220</v>
      </c>
      <c r="BA14" s="39">
        <v>7183645</v>
      </c>
      <c r="BB14" s="41"/>
      <c r="BC14" s="43"/>
      <c r="BD14" s="39"/>
      <c r="BE14" s="39"/>
      <c r="BF14" s="39"/>
      <c r="BG14" s="43"/>
      <c r="BH14" s="39"/>
      <c r="BI14" s="43"/>
      <c r="BJ14" s="41">
        <f>(Tabla13[[#This Row],[VALOR TOTAL CONTRATO + VF]]+Tabla13[[#This Row],[ADICION 1 ]]+Tabla13[[#This Row],[ADICION 2]]-Tabla13[[#This Row],[LIBERACION]])</f>
        <v>69000000</v>
      </c>
      <c r="BK14" s="39"/>
      <c r="BL14" s="43"/>
      <c r="BM14" s="43"/>
      <c r="BN14" s="39"/>
      <c r="BO14" s="39"/>
      <c r="BP14" s="43"/>
      <c r="BQ14" s="39"/>
      <c r="BR14" s="41"/>
      <c r="BS14" s="43"/>
      <c r="BT14" s="39">
        <f t="shared" si="1"/>
        <v>348</v>
      </c>
      <c r="BU14" s="43"/>
      <c r="BV14" s="46"/>
    </row>
    <row r="15" spans="1:74" ht="15" customHeight="1" x14ac:dyDescent="0.25">
      <c r="A15" s="36" t="s">
        <v>459</v>
      </c>
      <c r="B15" s="37" t="s">
        <v>460</v>
      </c>
      <c r="C15" s="38" t="s">
        <v>54</v>
      </c>
      <c r="D15" s="39">
        <v>205</v>
      </c>
      <c r="E15" s="39" t="s">
        <v>345</v>
      </c>
      <c r="F15" s="39" t="s">
        <v>289</v>
      </c>
      <c r="G15" s="39" t="s">
        <v>982</v>
      </c>
      <c r="H15" s="39" t="s">
        <v>57</v>
      </c>
      <c r="I15" s="40">
        <v>44939</v>
      </c>
      <c r="J15" s="39" t="s">
        <v>59</v>
      </c>
      <c r="K15" s="39" t="s">
        <v>290</v>
      </c>
      <c r="L15" s="39" t="s">
        <v>291</v>
      </c>
      <c r="M15" s="39" t="s">
        <v>292</v>
      </c>
      <c r="N15" s="39">
        <v>80161500</v>
      </c>
      <c r="O15" s="39" t="s">
        <v>293</v>
      </c>
      <c r="P15" s="41">
        <v>44000000</v>
      </c>
      <c r="Q15" s="41">
        <v>44000000</v>
      </c>
      <c r="R15" s="39">
        <v>9723</v>
      </c>
      <c r="S15" s="39" t="s">
        <v>294</v>
      </c>
      <c r="T15" s="39" t="s">
        <v>64</v>
      </c>
      <c r="U15" s="39" t="s">
        <v>65</v>
      </c>
      <c r="V15" s="39"/>
      <c r="W15" s="39" t="s">
        <v>440</v>
      </c>
      <c r="X15" s="39" t="s">
        <v>57</v>
      </c>
      <c r="Y15" s="40">
        <v>44943</v>
      </c>
      <c r="Z15" s="39" t="s">
        <v>67</v>
      </c>
      <c r="AA15" s="39"/>
      <c r="AB15" s="39" t="s">
        <v>295</v>
      </c>
      <c r="AC15" s="39" t="s">
        <v>69</v>
      </c>
      <c r="AD15" s="39" t="s">
        <v>296</v>
      </c>
      <c r="AE15" s="39">
        <v>80880247</v>
      </c>
      <c r="AF15" s="39"/>
      <c r="AG15" s="39"/>
      <c r="AH15" s="39"/>
      <c r="AI15" s="39"/>
      <c r="AJ15" s="39"/>
      <c r="AK15" s="39"/>
      <c r="AL15" s="44">
        <f ca="1">+YEAR(TODAY())-YEAR(Tabla13[[#This Row],[FECHA DE NACIMIENTO]])</f>
        <v>123</v>
      </c>
      <c r="AM15" s="39">
        <v>15523</v>
      </c>
      <c r="AN15" s="40">
        <v>44942</v>
      </c>
      <c r="AO15" s="45">
        <v>44000000</v>
      </c>
      <c r="AP15" s="39"/>
      <c r="AQ15" s="39"/>
      <c r="AR15" s="39"/>
      <c r="AS15" s="45">
        <v>44000000</v>
      </c>
      <c r="AT15" s="39" t="s">
        <v>297</v>
      </c>
      <c r="AU15" s="40">
        <v>44943</v>
      </c>
      <c r="AV15" s="46" t="s">
        <v>74</v>
      </c>
      <c r="AW15" s="40">
        <v>44945</v>
      </c>
      <c r="AX15" s="40">
        <v>45291</v>
      </c>
      <c r="AY15" s="38">
        <f t="shared" si="0"/>
        <v>346</v>
      </c>
      <c r="AZ15" s="39" t="s">
        <v>298</v>
      </c>
      <c r="BA15" s="39">
        <v>52808564</v>
      </c>
      <c r="BB15" s="41"/>
      <c r="BC15" s="43"/>
      <c r="BD15" s="39"/>
      <c r="BE15" s="39"/>
      <c r="BF15" s="39"/>
      <c r="BG15" s="43"/>
      <c r="BH15" s="39"/>
      <c r="BI15" s="43"/>
      <c r="BJ15" s="41">
        <f>(Tabla13[[#This Row],[VALOR TOTAL CONTRATO + VF]]+Tabla13[[#This Row],[ADICION 1 ]]+Tabla13[[#This Row],[ADICION 2]]-Tabla13[[#This Row],[LIBERACION]])</f>
        <v>44000000</v>
      </c>
      <c r="BK15" s="39"/>
      <c r="BL15" s="43"/>
      <c r="BM15" s="43"/>
      <c r="BN15" s="39"/>
      <c r="BO15" s="39"/>
      <c r="BP15" s="43"/>
      <c r="BQ15" s="39"/>
      <c r="BR15" s="41"/>
      <c r="BS15" s="43"/>
      <c r="BT15" s="39">
        <f t="shared" si="1"/>
        <v>346</v>
      </c>
      <c r="BU15" s="43"/>
      <c r="BV15" s="46"/>
    </row>
    <row r="16" spans="1:74" ht="15" customHeight="1" x14ac:dyDescent="0.25">
      <c r="A16" s="36" t="s">
        <v>459</v>
      </c>
      <c r="B16" s="37" t="s">
        <v>460</v>
      </c>
      <c r="C16" s="38" t="s">
        <v>54</v>
      </c>
      <c r="D16" s="39">
        <v>204</v>
      </c>
      <c r="E16" s="39" t="s">
        <v>345</v>
      </c>
      <c r="F16" s="39" t="s">
        <v>299</v>
      </c>
      <c r="G16" s="39" t="s">
        <v>983</v>
      </c>
      <c r="H16" s="39" t="s">
        <v>57</v>
      </c>
      <c r="I16" s="40">
        <v>44939</v>
      </c>
      <c r="J16" s="39" t="s">
        <v>59</v>
      </c>
      <c r="K16" s="39" t="s">
        <v>290</v>
      </c>
      <c r="L16" s="39" t="s">
        <v>291</v>
      </c>
      <c r="M16" s="39" t="s">
        <v>300</v>
      </c>
      <c r="N16" s="39">
        <v>80161500</v>
      </c>
      <c r="O16" s="39" t="s">
        <v>293</v>
      </c>
      <c r="P16" s="41">
        <v>92000000</v>
      </c>
      <c r="Q16" s="41">
        <v>92000000</v>
      </c>
      <c r="R16" s="39">
        <v>12423</v>
      </c>
      <c r="S16" s="39" t="s">
        <v>294</v>
      </c>
      <c r="T16" s="39" t="s">
        <v>64</v>
      </c>
      <c r="U16" s="39" t="s">
        <v>65</v>
      </c>
      <c r="V16" s="39"/>
      <c r="W16" s="39" t="s">
        <v>441</v>
      </c>
      <c r="X16" s="39" t="s">
        <v>57</v>
      </c>
      <c r="Y16" s="40">
        <v>44943</v>
      </c>
      <c r="Z16" s="39" t="s">
        <v>67</v>
      </c>
      <c r="AA16" s="39"/>
      <c r="AB16" s="39" t="s">
        <v>295</v>
      </c>
      <c r="AC16" s="39" t="s">
        <v>69</v>
      </c>
      <c r="AD16" s="39" t="s">
        <v>301</v>
      </c>
      <c r="AE16" s="39">
        <v>1022367781</v>
      </c>
      <c r="AF16" s="39"/>
      <c r="AG16" s="39"/>
      <c r="AH16" s="39"/>
      <c r="AI16" s="39"/>
      <c r="AJ16" s="39"/>
      <c r="AK16" s="39"/>
      <c r="AL16" s="44">
        <f ca="1">+YEAR(TODAY())-YEAR(Tabla13[[#This Row],[FECHA DE NACIMIENTO]])</f>
        <v>123</v>
      </c>
      <c r="AM16" s="39">
        <v>15623</v>
      </c>
      <c r="AN16" s="40">
        <v>44942</v>
      </c>
      <c r="AO16" s="45">
        <v>92000000</v>
      </c>
      <c r="AP16" s="39"/>
      <c r="AQ16" s="39"/>
      <c r="AR16" s="39"/>
      <c r="AS16" s="45">
        <v>92000000</v>
      </c>
      <c r="AT16" s="39" t="s">
        <v>297</v>
      </c>
      <c r="AU16" s="40">
        <v>44943</v>
      </c>
      <c r="AV16" s="46" t="s">
        <v>74</v>
      </c>
      <c r="AW16" s="40">
        <v>44944</v>
      </c>
      <c r="AX16" s="40">
        <v>45291</v>
      </c>
      <c r="AY16" s="38">
        <f t="shared" si="0"/>
        <v>347</v>
      </c>
      <c r="AZ16" s="39" t="s">
        <v>298</v>
      </c>
      <c r="BA16" s="39">
        <v>52808564</v>
      </c>
      <c r="BB16" s="41"/>
      <c r="BC16" s="43"/>
      <c r="BD16" s="39"/>
      <c r="BE16" s="39"/>
      <c r="BF16" s="39"/>
      <c r="BG16" s="43"/>
      <c r="BH16" s="39"/>
      <c r="BI16" s="43"/>
      <c r="BJ16" s="41">
        <f>(Tabla13[[#This Row],[VALOR TOTAL CONTRATO + VF]]+Tabla13[[#This Row],[ADICION 1 ]]+Tabla13[[#This Row],[ADICION 2]]-Tabla13[[#This Row],[LIBERACION]])</f>
        <v>92000000</v>
      </c>
      <c r="BK16" s="39"/>
      <c r="BL16" s="43"/>
      <c r="BM16" s="43"/>
      <c r="BN16" s="39"/>
      <c r="BO16" s="39"/>
      <c r="BP16" s="43"/>
      <c r="BQ16" s="39"/>
      <c r="BR16" s="41"/>
      <c r="BS16" s="43"/>
      <c r="BT16" s="39">
        <f t="shared" si="1"/>
        <v>347</v>
      </c>
      <c r="BU16" s="43"/>
      <c r="BV16" s="46"/>
    </row>
    <row r="17" spans="1:74" ht="15" customHeight="1" x14ac:dyDescent="0.25">
      <c r="A17" s="36" t="s">
        <v>459</v>
      </c>
      <c r="B17" s="37" t="s">
        <v>460</v>
      </c>
      <c r="C17" s="38" t="s">
        <v>54</v>
      </c>
      <c r="D17" s="39">
        <v>209</v>
      </c>
      <c r="E17" s="39" t="s">
        <v>345</v>
      </c>
      <c r="F17" s="39" t="s">
        <v>302</v>
      </c>
      <c r="G17" s="39" t="s">
        <v>984</v>
      </c>
      <c r="H17" s="39" t="s">
        <v>57</v>
      </c>
      <c r="I17" s="40">
        <v>44939</v>
      </c>
      <c r="J17" s="39" t="s">
        <v>59</v>
      </c>
      <c r="K17" s="39" t="s">
        <v>290</v>
      </c>
      <c r="L17" s="39" t="s">
        <v>303</v>
      </c>
      <c r="M17" s="39" t="s">
        <v>304</v>
      </c>
      <c r="N17" s="39">
        <v>80161500</v>
      </c>
      <c r="O17" s="39" t="s">
        <v>293</v>
      </c>
      <c r="P17" s="41">
        <v>120750000</v>
      </c>
      <c r="Q17" s="41">
        <v>120750000</v>
      </c>
      <c r="R17" s="39">
        <v>10723</v>
      </c>
      <c r="S17" s="39" t="s">
        <v>305</v>
      </c>
      <c r="T17" s="39" t="s">
        <v>64</v>
      </c>
      <c r="U17" s="39" t="s">
        <v>65</v>
      </c>
      <c r="V17" s="39"/>
      <c r="W17" s="39" t="s">
        <v>442</v>
      </c>
      <c r="X17" s="39" t="s">
        <v>57</v>
      </c>
      <c r="Y17" s="40">
        <v>44942</v>
      </c>
      <c r="Z17" s="39" t="s">
        <v>67</v>
      </c>
      <c r="AA17" s="39"/>
      <c r="AB17" s="39" t="s">
        <v>295</v>
      </c>
      <c r="AC17" s="39" t="s">
        <v>69</v>
      </c>
      <c r="AD17" s="39" t="s">
        <v>306</v>
      </c>
      <c r="AE17" s="39">
        <v>52355684</v>
      </c>
      <c r="AF17" s="39"/>
      <c r="AG17" s="39"/>
      <c r="AH17" s="39"/>
      <c r="AI17" s="39"/>
      <c r="AJ17" s="39"/>
      <c r="AK17" s="39"/>
      <c r="AL17" s="44">
        <f ca="1">+YEAR(TODAY())-YEAR(Tabla13[[#This Row],[FECHA DE NACIMIENTO]])</f>
        <v>123</v>
      </c>
      <c r="AM17" s="39">
        <v>15723</v>
      </c>
      <c r="AN17" s="40">
        <v>44942</v>
      </c>
      <c r="AO17" s="45">
        <v>120750000</v>
      </c>
      <c r="AP17" s="39"/>
      <c r="AQ17" s="39"/>
      <c r="AR17" s="39"/>
      <c r="AS17" s="45">
        <v>120750000</v>
      </c>
      <c r="AT17" s="39" t="s">
        <v>297</v>
      </c>
      <c r="AU17" s="40">
        <v>44943</v>
      </c>
      <c r="AV17" s="46" t="s">
        <v>74</v>
      </c>
      <c r="AW17" s="40">
        <v>44943</v>
      </c>
      <c r="AX17" s="40">
        <v>45291</v>
      </c>
      <c r="AY17" s="38">
        <f t="shared" si="0"/>
        <v>348</v>
      </c>
      <c r="AZ17" s="39" t="s">
        <v>298</v>
      </c>
      <c r="BA17" s="39">
        <v>52808564</v>
      </c>
      <c r="BB17" s="41"/>
      <c r="BC17" s="43"/>
      <c r="BD17" s="39"/>
      <c r="BE17" s="39"/>
      <c r="BF17" s="39"/>
      <c r="BG17" s="43"/>
      <c r="BH17" s="39"/>
      <c r="BI17" s="43"/>
      <c r="BJ17" s="41">
        <f>(Tabla13[[#This Row],[VALOR TOTAL CONTRATO + VF]]+Tabla13[[#This Row],[ADICION 1 ]]+Tabla13[[#This Row],[ADICION 2]]-Tabla13[[#This Row],[LIBERACION]])</f>
        <v>120750000</v>
      </c>
      <c r="BK17" s="39"/>
      <c r="BL17" s="43"/>
      <c r="BM17" s="43"/>
      <c r="BN17" s="39"/>
      <c r="BO17" s="39"/>
      <c r="BP17" s="43"/>
      <c r="BQ17" s="39"/>
      <c r="BR17" s="41"/>
      <c r="BS17" s="43"/>
      <c r="BT17" s="39">
        <f t="shared" si="1"/>
        <v>348</v>
      </c>
      <c r="BU17" s="43"/>
      <c r="BV17" s="46"/>
    </row>
    <row r="18" spans="1:74" ht="15" customHeight="1" x14ac:dyDescent="0.25">
      <c r="A18" s="36" t="s">
        <v>459</v>
      </c>
      <c r="B18" s="37" t="s">
        <v>460</v>
      </c>
      <c r="C18" s="38" t="s">
        <v>54</v>
      </c>
      <c r="D18" s="39">
        <v>98</v>
      </c>
      <c r="E18" s="39" t="s">
        <v>55</v>
      </c>
      <c r="F18" s="39" t="s">
        <v>107</v>
      </c>
      <c r="G18" s="39" t="s">
        <v>108</v>
      </c>
      <c r="H18" s="39" t="s">
        <v>57</v>
      </c>
      <c r="I18" s="40">
        <v>44942</v>
      </c>
      <c r="J18" s="39" t="s">
        <v>59</v>
      </c>
      <c r="K18" s="39" t="s">
        <v>60</v>
      </c>
      <c r="L18" s="39" t="s">
        <v>86</v>
      </c>
      <c r="M18" s="39" t="s">
        <v>109</v>
      </c>
      <c r="N18" s="39">
        <v>80161500</v>
      </c>
      <c r="O18" s="39" t="s">
        <v>62</v>
      </c>
      <c r="P18" s="41">
        <v>86250000</v>
      </c>
      <c r="Q18" s="41">
        <v>86250000</v>
      </c>
      <c r="R18" s="39">
        <v>13223</v>
      </c>
      <c r="S18" s="39" t="s">
        <v>89</v>
      </c>
      <c r="T18" s="39" t="s">
        <v>64</v>
      </c>
      <c r="U18" s="39" t="s">
        <v>65</v>
      </c>
      <c r="V18" s="39"/>
      <c r="W18" s="39" t="s">
        <v>110</v>
      </c>
      <c r="X18" s="39" t="s">
        <v>57</v>
      </c>
      <c r="Y18" s="40">
        <v>44944</v>
      </c>
      <c r="Z18" s="39" t="s">
        <v>67</v>
      </c>
      <c r="AA18" s="39"/>
      <c r="AB18" s="39" t="s">
        <v>68</v>
      </c>
      <c r="AC18" s="39" t="s">
        <v>69</v>
      </c>
      <c r="AD18" s="39" t="s">
        <v>420</v>
      </c>
      <c r="AE18" s="39">
        <v>1010218162</v>
      </c>
      <c r="AF18" s="39"/>
      <c r="AG18" s="39"/>
      <c r="AH18" s="39"/>
      <c r="AI18" s="39"/>
      <c r="AJ18" s="39"/>
      <c r="AK18" s="39"/>
      <c r="AL18" s="44">
        <f ca="1">+YEAR(TODAY())-YEAR(Tabla13[[#This Row],[FECHA DE NACIMIENTO]])</f>
        <v>123</v>
      </c>
      <c r="AM18" s="39">
        <v>19223</v>
      </c>
      <c r="AN18" s="40">
        <v>44944</v>
      </c>
      <c r="AO18" s="41">
        <v>86250000</v>
      </c>
      <c r="AP18" s="39"/>
      <c r="AQ18" s="39"/>
      <c r="AR18" s="39"/>
      <c r="AS18" s="45">
        <v>86250000</v>
      </c>
      <c r="AT18" s="39" t="s">
        <v>75</v>
      </c>
      <c r="AU18" s="40">
        <v>44944</v>
      </c>
      <c r="AV18" s="46" t="s">
        <v>74</v>
      </c>
      <c r="AW18" s="40">
        <v>44944</v>
      </c>
      <c r="AX18" s="40">
        <v>45291</v>
      </c>
      <c r="AY18" s="38">
        <f t="shared" si="0"/>
        <v>347</v>
      </c>
      <c r="AZ18" s="39" t="s">
        <v>92</v>
      </c>
      <c r="BA18" s="39">
        <v>19498970</v>
      </c>
      <c r="BB18" s="41"/>
      <c r="BC18" s="43"/>
      <c r="BD18" s="39"/>
      <c r="BE18" s="39"/>
      <c r="BF18" s="39"/>
      <c r="BG18" s="43"/>
      <c r="BH18" s="39"/>
      <c r="BI18" s="43"/>
      <c r="BJ18" s="41">
        <f>(Tabla13[[#This Row],[VALOR TOTAL CONTRATO + VF]]+Tabla13[[#This Row],[ADICION 1 ]]+Tabla13[[#This Row],[ADICION 2]]-Tabla13[[#This Row],[LIBERACION]])</f>
        <v>86250000</v>
      </c>
      <c r="BK18" s="39"/>
      <c r="BL18" s="43"/>
      <c r="BM18" s="43"/>
      <c r="BN18" s="39"/>
      <c r="BO18" s="39"/>
      <c r="BP18" s="43"/>
      <c r="BQ18" s="39"/>
      <c r="BR18" s="41"/>
      <c r="BS18" s="43"/>
      <c r="BT18" s="39">
        <f t="shared" si="1"/>
        <v>347</v>
      </c>
      <c r="BU18" s="43"/>
      <c r="BV18" s="46"/>
    </row>
    <row r="19" spans="1:74" ht="15" customHeight="1" x14ac:dyDescent="0.25">
      <c r="A19" s="36" t="s">
        <v>459</v>
      </c>
      <c r="B19" s="37" t="s">
        <v>460</v>
      </c>
      <c r="C19" s="38" t="s">
        <v>54</v>
      </c>
      <c r="D19" s="39">
        <v>30</v>
      </c>
      <c r="E19" s="39" t="s">
        <v>55</v>
      </c>
      <c r="F19" s="39" t="s">
        <v>115</v>
      </c>
      <c r="G19" s="39" t="s">
        <v>116</v>
      </c>
      <c r="H19" s="39" t="s">
        <v>57</v>
      </c>
      <c r="I19" s="40">
        <v>44942</v>
      </c>
      <c r="J19" s="39" t="s">
        <v>59</v>
      </c>
      <c r="K19" s="39" t="s">
        <v>117</v>
      </c>
      <c r="L19" s="39" t="s">
        <v>99</v>
      </c>
      <c r="M19" s="39" t="s">
        <v>118</v>
      </c>
      <c r="N19" s="39">
        <v>80161504</v>
      </c>
      <c r="O19" s="39" t="s">
        <v>62</v>
      </c>
      <c r="P19" s="41">
        <v>63250000</v>
      </c>
      <c r="Q19" s="41">
        <v>63250000</v>
      </c>
      <c r="R19" s="39">
        <v>13523</v>
      </c>
      <c r="S19" s="39" t="s">
        <v>63</v>
      </c>
      <c r="T19" s="39" t="s">
        <v>64</v>
      </c>
      <c r="U19" s="39" t="s">
        <v>65</v>
      </c>
      <c r="V19" s="39"/>
      <c r="W19" s="39" t="s">
        <v>119</v>
      </c>
      <c r="X19" s="39" t="s">
        <v>57</v>
      </c>
      <c r="Y19" s="40">
        <v>44944</v>
      </c>
      <c r="Z19" s="39" t="s">
        <v>117</v>
      </c>
      <c r="AA19" s="39"/>
      <c r="AB19" s="39" t="s">
        <v>68</v>
      </c>
      <c r="AC19" s="39" t="s">
        <v>69</v>
      </c>
      <c r="AD19" s="39" t="s">
        <v>422</v>
      </c>
      <c r="AE19" s="39">
        <v>79865008</v>
      </c>
      <c r="AF19" s="39"/>
      <c r="AG19" s="39"/>
      <c r="AH19" s="39"/>
      <c r="AI19" s="39"/>
      <c r="AJ19" s="39"/>
      <c r="AK19" s="39"/>
      <c r="AL19" s="44">
        <f ca="1">+YEAR(TODAY())-YEAR(Tabla13[[#This Row],[FECHA DE NACIMIENTO]])</f>
        <v>123</v>
      </c>
      <c r="AM19" s="39">
        <v>18723</v>
      </c>
      <c r="AN19" s="40">
        <v>44944</v>
      </c>
      <c r="AO19" s="41">
        <v>63250000</v>
      </c>
      <c r="AP19" s="39"/>
      <c r="AQ19" s="39"/>
      <c r="AR19" s="39"/>
      <c r="AS19" s="45">
        <v>63250000</v>
      </c>
      <c r="AT19" s="39" t="s">
        <v>75</v>
      </c>
      <c r="AU19" s="40">
        <v>44944</v>
      </c>
      <c r="AV19" s="46" t="s">
        <v>74</v>
      </c>
      <c r="AW19" s="40">
        <v>44944</v>
      </c>
      <c r="AX19" s="40">
        <v>45291</v>
      </c>
      <c r="AY19" s="38">
        <f t="shared" si="0"/>
        <v>347</v>
      </c>
      <c r="AZ19" s="39" t="s">
        <v>437</v>
      </c>
      <c r="BA19" s="39">
        <v>393757630</v>
      </c>
      <c r="BB19" s="41"/>
      <c r="BC19" s="43"/>
      <c r="BD19" s="39"/>
      <c r="BE19" s="39"/>
      <c r="BF19" s="39"/>
      <c r="BG19" s="43"/>
      <c r="BH19" s="39"/>
      <c r="BI19" s="43"/>
      <c r="BJ19" s="41">
        <f>(Tabla13[[#This Row],[VALOR TOTAL CONTRATO + VF]]+Tabla13[[#This Row],[ADICION 1 ]]+Tabla13[[#This Row],[ADICION 2]]-Tabla13[[#This Row],[LIBERACION]])</f>
        <v>63250000</v>
      </c>
      <c r="BK19" s="39"/>
      <c r="BL19" s="43"/>
      <c r="BM19" s="43"/>
      <c r="BN19" s="39"/>
      <c r="BO19" s="39"/>
      <c r="BP19" s="43"/>
      <c r="BQ19" s="39"/>
      <c r="BR19" s="41"/>
      <c r="BS19" s="43"/>
      <c r="BT19" s="39">
        <f t="shared" si="1"/>
        <v>347</v>
      </c>
      <c r="BU19" s="43"/>
      <c r="BV19" s="46"/>
    </row>
    <row r="20" spans="1:74" ht="15" customHeight="1" x14ac:dyDescent="0.25">
      <c r="A20" s="36" t="s">
        <v>459</v>
      </c>
      <c r="B20" s="37" t="s">
        <v>460</v>
      </c>
      <c r="C20" s="38" t="s">
        <v>54</v>
      </c>
      <c r="D20" s="39">
        <v>2</v>
      </c>
      <c r="E20" s="39" t="s">
        <v>409</v>
      </c>
      <c r="F20" s="39" t="s">
        <v>363</v>
      </c>
      <c r="G20" s="39" t="s">
        <v>364</v>
      </c>
      <c r="H20" s="39" t="s">
        <v>57</v>
      </c>
      <c r="I20" s="40">
        <v>44942</v>
      </c>
      <c r="J20" s="39" t="s">
        <v>59</v>
      </c>
      <c r="K20" s="39" t="s">
        <v>60</v>
      </c>
      <c r="L20" s="39" t="s">
        <v>150</v>
      </c>
      <c r="M20" s="39" t="s">
        <v>365</v>
      </c>
      <c r="N20" s="39" t="s">
        <v>366</v>
      </c>
      <c r="O20" s="39" t="s">
        <v>138</v>
      </c>
      <c r="P20" s="41">
        <v>71500000</v>
      </c>
      <c r="Q20" s="41">
        <v>71500000</v>
      </c>
      <c r="R20" s="39">
        <v>11323</v>
      </c>
      <c r="S20" s="39" t="s">
        <v>63</v>
      </c>
      <c r="T20" s="39" t="s">
        <v>64</v>
      </c>
      <c r="U20" s="39" t="s">
        <v>65</v>
      </c>
      <c r="V20" s="39"/>
      <c r="W20" s="39" t="s">
        <v>367</v>
      </c>
      <c r="X20" s="39" t="s">
        <v>57</v>
      </c>
      <c r="Y20" s="40">
        <v>44943</v>
      </c>
      <c r="Z20" s="39" t="s">
        <v>67</v>
      </c>
      <c r="AA20" s="39"/>
      <c r="AB20" s="39" t="s">
        <v>68</v>
      </c>
      <c r="AC20" s="39" t="s">
        <v>69</v>
      </c>
      <c r="AD20" s="39" t="s">
        <v>436</v>
      </c>
      <c r="AE20" s="39">
        <v>1026262941</v>
      </c>
      <c r="AF20" s="39"/>
      <c r="AG20" s="39" t="s">
        <v>738</v>
      </c>
      <c r="AH20" s="39" t="s">
        <v>551</v>
      </c>
      <c r="AI20" s="39"/>
      <c r="AJ20" s="39"/>
      <c r="AK20" s="39">
        <v>32243</v>
      </c>
      <c r="AL20" s="44" t="e">
        <f ca="1">+YEAR(TODAY())-YEAR([1]!Tabla1[[#This Row],[FECHA DE NACIMIENTO]])</f>
        <v>#REF!</v>
      </c>
      <c r="AM20" s="39">
        <v>17423</v>
      </c>
      <c r="AN20" s="40">
        <v>44943</v>
      </c>
      <c r="AO20" s="41">
        <v>71500000</v>
      </c>
      <c r="AP20" s="39"/>
      <c r="AQ20" s="39"/>
      <c r="AR20" s="39"/>
      <c r="AS20" s="45">
        <f>SUM(AO20+AP20+AQ20+AR20)</f>
        <v>71500000</v>
      </c>
      <c r="AT20" s="39" t="s">
        <v>75</v>
      </c>
      <c r="AU20" s="40">
        <v>44945</v>
      </c>
      <c r="AV20" s="46" t="s">
        <v>74</v>
      </c>
      <c r="AW20" s="40">
        <v>44945</v>
      </c>
      <c r="AX20" s="40">
        <v>45291</v>
      </c>
      <c r="AY20" s="38">
        <f t="shared" si="0"/>
        <v>346</v>
      </c>
      <c r="AZ20" s="39" t="s">
        <v>368</v>
      </c>
      <c r="BA20" s="39">
        <v>52619262</v>
      </c>
      <c r="BB20" s="41"/>
      <c r="BC20" s="43"/>
      <c r="BD20" s="39"/>
      <c r="BE20" s="39"/>
      <c r="BF20" s="39"/>
      <c r="BG20" s="43"/>
      <c r="BH20" s="39"/>
      <c r="BI20" s="43"/>
      <c r="BJ20" s="41" t="e">
        <f>([1]!Tabla1[[#This Row],[VALOR TOTAL CONTRATO + VF]]+[1]!Tabla1[[#This Row],[ADICION 1 ]]+[1]!Tabla1[[#This Row],[ADICION 2]]-[1]!Tabla1[[#This Row],[LIBERACION]])</f>
        <v>#REF!</v>
      </c>
      <c r="BK20" s="39"/>
      <c r="BL20" s="43"/>
      <c r="BM20" s="43"/>
      <c r="BN20" s="39"/>
      <c r="BO20" s="39"/>
      <c r="BP20" s="43"/>
      <c r="BQ20" s="39"/>
      <c r="BR20" s="41"/>
      <c r="BS20" s="43"/>
      <c r="BT20" s="39">
        <f t="shared" si="1"/>
        <v>346</v>
      </c>
      <c r="BU20" s="43"/>
      <c r="BV20" s="46"/>
    </row>
    <row r="21" spans="1:74" ht="15" customHeight="1" x14ac:dyDescent="0.25">
      <c r="A21" s="36" t="s">
        <v>459</v>
      </c>
      <c r="B21" s="37" t="s">
        <v>460</v>
      </c>
      <c r="C21" s="38" t="s">
        <v>54</v>
      </c>
      <c r="D21" s="39">
        <v>207</v>
      </c>
      <c r="E21" s="39" t="s">
        <v>345</v>
      </c>
      <c r="F21" s="39" t="s">
        <v>307</v>
      </c>
      <c r="G21" s="39" t="s">
        <v>985</v>
      </c>
      <c r="H21" s="39" t="s">
        <v>57</v>
      </c>
      <c r="I21" s="40">
        <v>44942</v>
      </c>
      <c r="J21" s="39" t="s">
        <v>59</v>
      </c>
      <c r="K21" s="39" t="s">
        <v>290</v>
      </c>
      <c r="L21" s="39" t="s">
        <v>303</v>
      </c>
      <c r="M21" s="39" t="s">
        <v>308</v>
      </c>
      <c r="N21" s="39">
        <v>80161500</v>
      </c>
      <c r="O21" s="39" t="s">
        <v>293</v>
      </c>
      <c r="P21" s="41">
        <v>69000000</v>
      </c>
      <c r="Q21" s="41">
        <v>69000000</v>
      </c>
      <c r="R21" s="39">
        <v>10823</v>
      </c>
      <c r="S21" s="39" t="s">
        <v>309</v>
      </c>
      <c r="T21" s="39" t="s">
        <v>64</v>
      </c>
      <c r="U21" s="39" t="s">
        <v>65</v>
      </c>
      <c r="V21" s="39"/>
      <c r="W21" s="39" t="s">
        <v>443</v>
      </c>
      <c r="X21" s="39" t="s">
        <v>57</v>
      </c>
      <c r="Y21" s="40">
        <v>44942</v>
      </c>
      <c r="Z21" s="39" t="s">
        <v>67</v>
      </c>
      <c r="AA21" s="39"/>
      <c r="AB21" s="39" t="s">
        <v>295</v>
      </c>
      <c r="AC21" s="39" t="s">
        <v>69</v>
      </c>
      <c r="AD21" s="39" t="s">
        <v>310</v>
      </c>
      <c r="AE21" s="39">
        <v>79463678</v>
      </c>
      <c r="AF21" s="39"/>
      <c r="AG21" s="39"/>
      <c r="AH21" s="39"/>
      <c r="AI21" s="39"/>
      <c r="AJ21" s="39"/>
      <c r="AK21" s="39"/>
      <c r="AL21" s="44">
        <f ca="1">+YEAR(TODAY())-YEAR(Tabla13[[#This Row],[FECHA DE NACIMIENTO]])</f>
        <v>123</v>
      </c>
      <c r="AM21" s="39">
        <v>16723</v>
      </c>
      <c r="AN21" s="40">
        <v>44943</v>
      </c>
      <c r="AO21" s="45">
        <v>69000000</v>
      </c>
      <c r="AP21" s="39"/>
      <c r="AQ21" s="39"/>
      <c r="AR21" s="39"/>
      <c r="AS21" s="45">
        <v>69000000</v>
      </c>
      <c r="AT21" s="39" t="s">
        <v>297</v>
      </c>
      <c r="AU21" s="40">
        <v>44944</v>
      </c>
      <c r="AV21" s="46" t="s">
        <v>74</v>
      </c>
      <c r="AW21" s="40">
        <v>44944</v>
      </c>
      <c r="AX21" s="40">
        <v>45291</v>
      </c>
      <c r="AY21" s="38">
        <f t="shared" si="0"/>
        <v>347</v>
      </c>
      <c r="AZ21" s="39" t="s">
        <v>311</v>
      </c>
      <c r="BA21" s="39">
        <v>52452907</v>
      </c>
      <c r="BB21" s="41"/>
      <c r="BC21" s="43"/>
      <c r="BD21" s="39"/>
      <c r="BE21" s="39"/>
      <c r="BF21" s="39"/>
      <c r="BG21" s="43"/>
      <c r="BH21" s="39"/>
      <c r="BI21" s="43"/>
      <c r="BJ21" s="41">
        <f>(Tabla13[[#This Row],[VALOR TOTAL CONTRATO + VF]]+Tabla13[[#This Row],[ADICION 1 ]]+Tabla13[[#This Row],[ADICION 2]]-Tabla13[[#This Row],[LIBERACION]])</f>
        <v>69000000</v>
      </c>
      <c r="BK21" s="39"/>
      <c r="BL21" s="43"/>
      <c r="BM21" s="43"/>
      <c r="BN21" s="39"/>
      <c r="BO21" s="39"/>
      <c r="BP21" s="43"/>
      <c r="BQ21" s="39"/>
      <c r="BR21" s="41"/>
      <c r="BS21" s="43"/>
      <c r="BT21" s="39">
        <f t="shared" si="1"/>
        <v>347</v>
      </c>
      <c r="BU21" s="43"/>
      <c r="BV21" s="46"/>
    </row>
    <row r="22" spans="1:74" ht="15" customHeight="1" x14ac:dyDescent="0.25">
      <c r="A22" s="36" t="s">
        <v>459</v>
      </c>
      <c r="B22" s="37" t="s">
        <v>460</v>
      </c>
      <c r="C22" s="38" t="s">
        <v>54</v>
      </c>
      <c r="D22" s="39">
        <v>56</v>
      </c>
      <c r="E22" s="39" t="s">
        <v>55</v>
      </c>
      <c r="F22" s="39" t="s">
        <v>101</v>
      </c>
      <c r="G22" s="39" t="s">
        <v>103</v>
      </c>
      <c r="H22" s="39" t="s">
        <v>57</v>
      </c>
      <c r="I22" s="40">
        <v>44943</v>
      </c>
      <c r="J22" s="39" t="s">
        <v>59</v>
      </c>
      <c r="K22" s="39" t="s">
        <v>60</v>
      </c>
      <c r="L22" s="39" t="s">
        <v>86</v>
      </c>
      <c r="M22" s="39" t="s">
        <v>104</v>
      </c>
      <c r="N22" s="39">
        <v>81111800</v>
      </c>
      <c r="O22" s="39" t="s">
        <v>88</v>
      </c>
      <c r="P22" s="41">
        <v>115000000</v>
      </c>
      <c r="Q22" s="41">
        <v>115000000</v>
      </c>
      <c r="R22" s="39">
        <v>13123</v>
      </c>
      <c r="S22" s="39" t="s">
        <v>89</v>
      </c>
      <c r="T22" s="39" t="s">
        <v>64</v>
      </c>
      <c r="U22" s="39" t="s">
        <v>65</v>
      </c>
      <c r="V22" s="39"/>
      <c r="W22" s="39" t="s">
        <v>105</v>
      </c>
      <c r="X22" s="39" t="s">
        <v>57</v>
      </c>
      <c r="Y22" s="40">
        <v>44944</v>
      </c>
      <c r="Z22" s="39" t="s">
        <v>67</v>
      </c>
      <c r="AA22" s="39"/>
      <c r="AB22" s="39" t="s">
        <v>68</v>
      </c>
      <c r="AC22" s="39" t="s">
        <v>69</v>
      </c>
      <c r="AD22" s="39" t="s">
        <v>106</v>
      </c>
      <c r="AE22" s="39">
        <v>1010218162</v>
      </c>
      <c r="AF22" s="39"/>
      <c r="AG22" s="39"/>
      <c r="AH22" s="39"/>
      <c r="AI22" s="39"/>
      <c r="AJ22" s="39"/>
      <c r="AK22" s="39"/>
      <c r="AL22" s="44">
        <f ca="1">+YEAR(TODAY())-YEAR(Tabla13[[#This Row],[FECHA DE NACIMIENTO]])</f>
        <v>123</v>
      </c>
      <c r="AM22" s="39">
        <v>19123</v>
      </c>
      <c r="AN22" s="40">
        <v>44944</v>
      </c>
      <c r="AO22" s="41">
        <v>115000000</v>
      </c>
      <c r="AP22" s="39"/>
      <c r="AQ22" s="39"/>
      <c r="AR22" s="39"/>
      <c r="AS22" s="45">
        <v>115000000</v>
      </c>
      <c r="AT22" s="39" t="s">
        <v>75</v>
      </c>
      <c r="AU22" s="40">
        <v>44944</v>
      </c>
      <c r="AV22" s="46" t="s">
        <v>74</v>
      </c>
      <c r="AW22" s="40">
        <v>44944</v>
      </c>
      <c r="AX22" s="40">
        <v>45291</v>
      </c>
      <c r="AY22" s="38">
        <f t="shared" si="0"/>
        <v>347</v>
      </c>
      <c r="AZ22" s="39" t="s">
        <v>92</v>
      </c>
      <c r="BA22" s="39">
        <v>19498970</v>
      </c>
      <c r="BB22" s="41"/>
      <c r="BC22" s="43"/>
      <c r="BD22" s="39"/>
      <c r="BE22" s="39"/>
      <c r="BF22" s="39"/>
      <c r="BG22" s="43"/>
      <c r="BH22" s="39"/>
      <c r="BI22" s="43"/>
      <c r="BJ22" s="41">
        <f>(Tabla13[[#This Row],[VALOR TOTAL CONTRATO + VF]]+Tabla13[[#This Row],[ADICION 1 ]]+Tabla13[[#This Row],[ADICION 2]]-Tabla13[[#This Row],[LIBERACION]])</f>
        <v>115000000</v>
      </c>
      <c r="BK22" s="39"/>
      <c r="BL22" s="43"/>
      <c r="BM22" s="43"/>
      <c r="BN22" s="39"/>
      <c r="BO22" s="39"/>
      <c r="BP22" s="43"/>
      <c r="BQ22" s="39"/>
      <c r="BR22" s="41"/>
      <c r="BS22" s="43"/>
      <c r="BT22" s="39">
        <f t="shared" si="1"/>
        <v>347</v>
      </c>
      <c r="BU22" s="43"/>
      <c r="BV22" s="46"/>
    </row>
    <row r="23" spans="1:74" ht="15" customHeight="1" x14ac:dyDescent="0.25">
      <c r="A23" s="36" t="s">
        <v>459</v>
      </c>
      <c r="B23" s="37" t="s">
        <v>460</v>
      </c>
      <c r="C23" s="38" t="s">
        <v>54</v>
      </c>
      <c r="D23" s="39">
        <v>22</v>
      </c>
      <c r="E23" s="39" t="s">
        <v>409</v>
      </c>
      <c r="F23" s="39" t="s">
        <v>369</v>
      </c>
      <c r="G23" s="39" t="s">
        <v>370</v>
      </c>
      <c r="H23" s="39" t="s">
        <v>57</v>
      </c>
      <c r="I23" s="40">
        <v>44943</v>
      </c>
      <c r="J23" s="39" t="s">
        <v>59</v>
      </c>
      <c r="K23" s="39" t="s">
        <v>60</v>
      </c>
      <c r="L23" s="39" t="s">
        <v>371</v>
      </c>
      <c r="M23" s="39" t="s">
        <v>372</v>
      </c>
      <c r="N23" s="39" t="s">
        <v>373</v>
      </c>
      <c r="O23" s="39" t="s">
        <v>739</v>
      </c>
      <c r="P23" s="41">
        <v>55000000</v>
      </c>
      <c r="Q23" s="41">
        <v>55000000</v>
      </c>
      <c r="R23" s="39">
        <v>10023</v>
      </c>
      <c r="S23" s="39" t="s">
        <v>63</v>
      </c>
      <c r="T23" s="39" t="s">
        <v>64</v>
      </c>
      <c r="U23" s="39" t="s">
        <v>65</v>
      </c>
      <c r="V23" s="39"/>
      <c r="W23" s="39" t="s">
        <v>374</v>
      </c>
      <c r="X23" s="39" t="s">
        <v>57</v>
      </c>
      <c r="Y23" s="40">
        <v>44944</v>
      </c>
      <c r="Z23" s="39" t="s">
        <v>67</v>
      </c>
      <c r="AA23" s="39"/>
      <c r="AB23" s="39" t="s">
        <v>68</v>
      </c>
      <c r="AC23" s="39" t="s">
        <v>69</v>
      </c>
      <c r="AD23" s="39" t="s">
        <v>375</v>
      </c>
      <c r="AE23" s="39">
        <v>24018748</v>
      </c>
      <c r="AF23" s="39"/>
      <c r="AG23" s="39" t="s">
        <v>626</v>
      </c>
      <c r="AH23" s="39" t="s">
        <v>551</v>
      </c>
      <c r="AI23" s="39"/>
      <c r="AJ23" s="39"/>
      <c r="AK23" s="39">
        <v>29011</v>
      </c>
      <c r="AL23" s="44" t="e">
        <f ca="1">+YEAR(TODAY())-YEAR([1]!Tabla1[[#This Row],[FECHA DE NACIMIENTO]])</f>
        <v>#REF!</v>
      </c>
      <c r="AM23" s="39">
        <v>20623</v>
      </c>
      <c r="AN23" s="40">
        <v>44945</v>
      </c>
      <c r="AO23" s="41">
        <v>55000000</v>
      </c>
      <c r="AP23" s="39"/>
      <c r="AQ23" s="39"/>
      <c r="AR23" s="39"/>
      <c r="AS23" s="45">
        <f>SUM(AO23+AP23+AQ23+AR23)</f>
        <v>55000000</v>
      </c>
      <c r="AT23" s="39" t="s">
        <v>75</v>
      </c>
      <c r="AU23" s="40">
        <v>44945</v>
      </c>
      <c r="AV23" s="46" t="s">
        <v>74</v>
      </c>
      <c r="AW23" s="40">
        <v>44949</v>
      </c>
      <c r="AX23" s="40">
        <v>45291</v>
      </c>
      <c r="AY23" s="38">
        <f t="shared" si="0"/>
        <v>342</v>
      </c>
      <c r="AZ23" s="39" t="s">
        <v>172</v>
      </c>
      <c r="BA23" s="39">
        <v>79279880</v>
      </c>
      <c r="BB23" s="41"/>
      <c r="BC23" s="43"/>
      <c r="BD23" s="39"/>
      <c r="BE23" s="39"/>
      <c r="BF23" s="39"/>
      <c r="BG23" s="43"/>
      <c r="BH23" s="39"/>
      <c r="BI23" s="43"/>
      <c r="BJ23" s="41" t="e">
        <f>([1]!Tabla1[[#This Row],[VALOR TOTAL CONTRATO + VF]]+[1]!Tabla1[[#This Row],[ADICION 1 ]]+[1]!Tabla1[[#This Row],[ADICION 2]]-[1]!Tabla1[[#This Row],[LIBERACION]])</f>
        <v>#REF!</v>
      </c>
      <c r="BK23" s="39"/>
      <c r="BL23" s="43"/>
      <c r="BM23" s="43"/>
      <c r="BN23" s="39"/>
      <c r="BO23" s="39"/>
      <c r="BP23" s="43"/>
      <c r="BQ23" s="39"/>
      <c r="BR23" s="41"/>
      <c r="BS23" s="43"/>
      <c r="BT23" s="39">
        <f t="shared" si="1"/>
        <v>342</v>
      </c>
      <c r="BU23" s="43"/>
      <c r="BV23" s="46"/>
    </row>
    <row r="24" spans="1:74" ht="15" customHeight="1" x14ac:dyDescent="0.25">
      <c r="A24" s="36" t="s">
        <v>459</v>
      </c>
      <c r="B24" s="37" t="s">
        <v>460</v>
      </c>
      <c r="C24" s="38" t="s">
        <v>54</v>
      </c>
      <c r="D24" s="39">
        <v>17</v>
      </c>
      <c r="E24" s="39" t="s">
        <v>409</v>
      </c>
      <c r="F24" s="39" t="s">
        <v>376</v>
      </c>
      <c r="G24" s="39" t="s">
        <v>377</v>
      </c>
      <c r="H24" s="39" t="s">
        <v>57</v>
      </c>
      <c r="I24" s="40">
        <v>44943</v>
      </c>
      <c r="J24" s="39" t="s">
        <v>59</v>
      </c>
      <c r="K24" s="39" t="s">
        <v>60</v>
      </c>
      <c r="L24" s="39" t="s">
        <v>150</v>
      </c>
      <c r="M24" s="39" t="s">
        <v>378</v>
      </c>
      <c r="N24" s="39" t="s">
        <v>379</v>
      </c>
      <c r="O24" s="39" t="s">
        <v>631</v>
      </c>
      <c r="P24" s="41">
        <v>57500000</v>
      </c>
      <c r="Q24" s="41">
        <v>57500000</v>
      </c>
      <c r="R24" s="39">
        <v>10523</v>
      </c>
      <c r="S24" s="39" t="s">
        <v>349</v>
      </c>
      <c r="T24" s="39" t="s">
        <v>64</v>
      </c>
      <c r="U24" s="39" t="s">
        <v>65</v>
      </c>
      <c r="V24" s="39"/>
      <c r="W24" s="39" t="s">
        <v>380</v>
      </c>
      <c r="X24" s="39" t="s">
        <v>57</v>
      </c>
      <c r="Y24" s="40">
        <v>44944</v>
      </c>
      <c r="Z24" s="39" t="s">
        <v>67</v>
      </c>
      <c r="AA24" s="39"/>
      <c r="AB24" s="39" t="s">
        <v>68</v>
      </c>
      <c r="AC24" s="39" t="s">
        <v>69</v>
      </c>
      <c r="AD24" s="39" t="s">
        <v>381</v>
      </c>
      <c r="AE24" s="39">
        <v>1010167732</v>
      </c>
      <c r="AF24" s="39"/>
      <c r="AG24" s="39" t="s">
        <v>740</v>
      </c>
      <c r="AH24" s="39" t="s">
        <v>551</v>
      </c>
      <c r="AI24" s="39"/>
      <c r="AJ24" s="39"/>
      <c r="AK24" s="39">
        <v>31711</v>
      </c>
      <c r="AL24" s="44" t="e">
        <f ca="1">+YEAR(TODAY())-YEAR([1]!Tabla1[[#This Row],[FECHA DE NACIMIENTO]])</f>
        <v>#REF!</v>
      </c>
      <c r="AM24" s="39">
        <v>19723</v>
      </c>
      <c r="AN24" s="40">
        <v>44945</v>
      </c>
      <c r="AO24" s="41">
        <v>57500000</v>
      </c>
      <c r="AP24" s="39"/>
      <c r="AQ24" s="39"/>
      <c r="AR24" s="39"/>
      <c r="AS24" s="45">
        <f>SUM(AO24+AP24+AQ24+AR24)</f>
        <v>57500000</v>
      </c>
      <c r="AT24" s="39" t="s">
        <v>75</v>
      </c>
      <c r="AU24" s="40">
        <v>44945</v>
      </c>
      <c r="AV24" s="46" t="s">
        <v>74</v>
      </c>
      <c r="AW24" s="40">
        <v>44946</v>
      </c>
      <c r="AX24" s="40">
        <v>45291</v>
      </c>
      <c r="AY24" s="38">
        <f t="shared" si="0"/>
        <v>345</v>
      </c>
      <c r="AZ24" s="39" t="s">
        <v>156</v>
      </c>
      <c r="BA24" s="39">
        <v>79276876</v>
      </c>
      <c r="BB24" s="41"/>
      <c r="BC24" s="43"/>
      <c r="BD24" s="39"/>
      <c r="BE24" s="39"/>
      <c r="BF24" s="39"/>
      <c r="BG24" s="43"/>
      <c r="BH24" s="39"/>
      <c r="BI24" s="43"/>
      <c r="BJ24" s="41" t="e">
        <f>([1]!Tabla1[[#This Row],[VALOR TOTAL CONTRATO + VF]]+[1]!Tabla1[[#This Row],[ADICION 1 ]]+[1]!Tabla1[[#This Row],[ADICION 2]]-[1]!Tabla1[[#This Row],[LIBERACION]])</f>
        <v>#REF!</v>
      </c>
      <c r="BK24" s="39"/>
      <c r="BL24" s="43"/>
      <c r="BM24" s="43"/>
      <c r="BN24" s="39"/>
      <c r="BO24" s="39"/>
      <c r="BP24" s="43"/>
      <c r="BQ24" s="39"/>
      <c r="BR24" s="41"/>
      <c r="BS24" s="43"/>
      <c r="BT24" s="39">
        <f t="shared" si="1"/>
        <v>345</v>
      </c>
      <c r="BU24" s="43"/>
      <c r="BV24" s="46"/>
    </row>
    <row r="25" spans="1:74" ht="15" customHeight="1" x14ac:dyDescent="0.25">
      <c r="A25" s="36" t="s">
        <v>459</v>
      </c>
      <c r="B25" s="37" t="s">
        <v>460</v>
      </c>
      <c r="C25" s="38" t="s">
        <v>54</v>
      </c>
      <c r="D25" s="39">
        <v>53</v>
      </c>
      <c r="E25" s="39" t="s">
        <v>55</v>
      </c>
      <c r="F25" s="39" t="s">
        <v>84</v>
      </c>
      <c r="G25" s="39" t="s">
        <v>85</v>
      </c>
      <c r="H25" s="39" t="s">
        <v>57</v>
      </c>
      <c r="I25" s="40">
        <v>44944</v>
      </c>
      <c r="J25" s="39" t="s">
        <v>59</v>
      </c>
      <c r="K25" s="39" t="s">
        <v>60</v>
      </c>
      <c r="L25" s="39" t="s">
        <v>86</v>
      </c>
      <c r="M25" s="39" t="s">
        <v>87</v>
      </c>
      <c r="N25" s="39">
        <v>81111500</v>
      </c>
      <c r="O25" s="39" t="s">
        <v>88</v>
      </c>
      <c r="P25" s="41">
        <v>57500000</v>
      </c>
      <c r="Q25" s="41">
        <v>57500000</v>
      </c>
      <c r="R25" s="39">
        <v>10923</v>
      </c>
      <c r="S25" s="39" t="s">
        <v>89</v>
      </c>
      <c r="T25" s="39" t="s">
        <v>64</v>
      </c>
      <c r="U25" s="39" t="s">
        <v>65</v>
      </c>
      <c r="V25" s="39"/>
      <c r="W25" s="39" t="s">
        <v>90</v>
      </c>
      <c r="X25" s="39" t="s">
        <v>57</v>
      </c>
      <c r="Y25" s="40">
        <v>44946</v>
      </c>
      <c r="Z25" s="39" t="s">
        <v>67</v>
      </c>
      <c r="AA25" s="39"/>
      <c r="AB25" s="39" t="s">
        <v>68</v>
      </c>
      <c r="AC25" s="39" t="s">
        <v>69</v>
      </c>
      <c r="AD25" s="39" t="s">
        <v>91</v>
      </c>
      <c r="AE25" s="39">
        <v>53075439</v>
      </c>
      <c r="AF25" s="39"/>
      <c r="AG25" s="39"/>
      <c r="AH25" s="39"/>
      <c r="AI25" s="39"/>
      <c r="AJ25" s="39"/>
      <c r="AK25" s="39"/>
      <c r="AL25" s="44">
        <f ca="1">+YEAR(TODAY())-YEAR(Tabla13[[#This Row],[FECHA DE NACIMIENTO]])</f>
        <v>123</v>
      </c>
      <c r="AM25" s="39">
        <v>21323</v>
      </c>
      <c r="AN25" s="40">
        <v>44946</v>
      </c>
      <c r="AO25" s="41">
        <v>57500000</v>
      </c>
      <c r="AP25" s="39"/>
      <c r="AQ25" s="39"/>
      <c r="AR25" s="39"/>
      <c r="AS25" s="45">
        <v>57500000</v>
      </c>
      <c r="AT25" s="39" t="s">
        <v>75</v>
      </c>
      <c r="AU25" s="40">
        <v>44946</v>
      </c>
      <c r="AV25" s="46" t="s">
        <v>74</v>
      </c>
      <c r="AW25" s="40">
        <v>44949</v>
      </c>
      <c r="AX25" s="40">
        <v>45291</v>
      </c>
      <c r="AY25" s="38">
        <f t="shared" si="0"/>
        <v>342</v>
      </c>
      <c r="AZ25" s="39" t="s">
        <v>92</v>
      </c>
      <c r="BA25" s="39">
        <v>19498970</v>
      </c>
      <c r="BB25" s="41"/>
      <c r="BC25" s="43"/>
      <c r="BD25" s="39"/>
      <c r="BE25" s="39"/>
      <c r="BF25" s="39"/>
      <c r="BG25" s="43"/>
      <c r="BH25" s="39"/>
      <c r="BI25" s="43"/>
      <c r="BJ25" s="41">
        <f>(Tabla13[[#This Row],[VALOR TOTAL CONTRATO + VF]]+Tabla13[[#This Row],[ADICION 1 ]]+Tabla13[[#This Row],[ADICION 2]]-Tabla13[[#This Row],[LIBERACION]])</f>
        <v>57500000</v>
      </c>
      <c r="BK25" s="39"/>
      <c r="BL25" s="43"/>
      <c r="BM25" s="43"/>
      <c r="BN25" s="39"/>
      <c r="BO25" s="39"/>
      <c r="BP25" s="43"/>
      <c r="BQ25" s="39"/>
      <c r="BR25" s="41"/>
      <c r="BS25" s="43"/>
      <c r="BT25" s="39">
        <f t="shared" si="1"/>
        <v>342</v>
      </c>
      <c r="BU25" s="43"/>
      <c r="BV25" s="46"/>
    </row>
    <row r="26" spans="1:74" ht="15" customHeight="1" x14ac:dyDescent="0.25">
      <c r="A26" s="36" t="s">
        <v>459</v>
      </c>
      <c r="B26" s="37" t="s">
        <v>460</v>
      </c>
      <c r="C26" s="38" t="s">
        <v>54</v>
      </c>
      <c r="D26" s="39">
        <v>23</v>
      </c>
      <c r="E26" s="39" t="s">
        <v>409</v>
      </c>
      <c r="F26" s="39" t="s">
        <v>360</v>
      </c>
      <c r="G26" s="39" t="s">
        <v>361</v>
      </c>
      <c r="H26" s="39" t="s">
        <v>57</v>
      </c>
      <c r="I26" s="40">
        <v>44944</v>
      </c>
      <c r="J26" s="39" t="s">
        <v>59</v>
      </c>
      <c r="K26" s="39" t="s">
        <v>60</v>
      </c>
      <c r="L26" s="39" t="s">
        <v>136</v>
      </c>
      <c r="M26" s="39" t="s">
        <v>353</v>
      </c>
      <c r="N26" s="39" t="s">
        <v>168</v>
      </c>
      <c r="O26" s="39" t="s">
        <v>737</v>
      </c>
      <c r="P26" s="41">
        <v>46000000</v>
      </c>
      <c r="Q26" s="41">
        <v>46000000</v>
      </c>
      <c r="R26" s="39">
        <v>9823</v>
      </c>
      <c r="S26" s="39" t="s">
        <v>63</v>
      </c>
      <c r="T26" s="39" t="s">
        <v>64</v>
      </c>
      <c r="U26" s="39" t="s">
        <v>65</v>
      </c>
      <c r="V26" s="39"/>
      <c r="W26" s="39" t="s">
        <v>362</v>
      </c>
      <c r="X26" s="39" t="s">
        <v>57</v>
      </c>
      <c r="Y26" s="40">
        <v>44945</v>
      </c>
      <c r="Z26" s="39" t="s">
        <v>67</v>
      </c>
      <c r="AA26" s="39"/>
      <c r="AB26" s="39" t="s">
        <v>68</v>
      </c>
      <c r="AC26" s="39" t="s">
        <v>69</v>
      </c>
      <c r="AD26" s="39" t="s">
        <v>435</v>
      </c>
      <c r="AE26" s="39">
        <v>1065827686</v>
      </c>
      <c r="AF26" s="39"/>
      <c r="AG26" s="39" t="s">
        <v>626</v>
      </c>
      <c r="AH26" s="39" t="s">
        <v>551</v>
      </c>
      <c r="AI26" s="39"/>
      <c r="AJ26" s="39"/>
      <c r="AK26" s="39">
        <v>35315</v>
      </c>
      <c r="AL26" s="44" t="e">
        <f ca="1">+YEAR(TODAY())-YEAR([1]!Tabla1[[#This Row],[FECHA DE NACIMIENTO]])</f>
        <v>#REF!</v>
      </c>
      <c r="AM26" s="39">
        <v>20223</v>
      </c>
      <c r="AN26" s="40">
        <v>44945</v>
      </c>
      <c r="AO26" s="41">
        <v>46000000</v>
      </c>
      <c r="AP26" s="39"/>
      <c r="AQ26" s="39"/>
      <c r="AR26" s="39"/>
      <c r="AS26" s="45">
        <f>SUM(AO26+AP26+AQ26+AR26)</f>
        <v>46000000</v>
      </c>
      <c r="AT26" s="39" t="s">
        <v>75</v>
      </c>
      <c r="AU26" s="40">
        <v>44945</v>
      </c>
      <c r="AV26" s="46" t="s">
        <v>74</v>
      </c>
      <c r="AW26" s="40">
        <v>44945</v>
      </c>
      <c r="AX26" s="40">
        <v>45291</v>
      </c>
      <c r="AY26" s="38">
        <f t="shared" si="0"/>
        <v>346</v>
      </c>
      <c r="AZ26" s="39" t="s">
        <v>172</v>
      </c>
      <c r="BA26" s="39">
        <v>79279880</v>
      </c>
      <c r="BB26" s="41"/>
      <c r="BC26" s="43"/>
      <c r="BD26" s="39"/>
      <c r="BE26" s="39"/>
      <c r="BF26" s="39"/>
      <c r="BG26" s="43"/>
      <c r="BH26" s="39"/>
      <c r="BI26" s="43"/>
      <c r="BJ26" s="41" t="e">
        <f>([1]!Tabla1[[#This Row],[VALOR TOTAL CONTRATO + VF]]+[1]!Tabla1[[#This Row],[ADICION 1 ]]+[1]!Tabla1[[#This Row],[ADICION 2]]-[1]!Tabla1[[#This Row],[LIBERACION]])</f>
        <v>#REF!</v>
      </c>
      <c r="BK26" s="39"/>
      <c r="BL26" s="43"/>
      <c r="BM26" s="43"/>
      <c r="BN26" s="39"/>
      <c r="BO26" s="39"/>
      <c r="BP26" s="43"/>
      <c r="BQ26" s="39"/>
      <c r="BR26" s="41"/>
      <c r="BS26" s="43"/>
      <c r="BT26" s="39">
        <f t="shared" si="1"/>
        <v>346</v>
      </c>
      <c r="BU26" s="43"/>
      <c r="BV26" s="46"/>
    </row>
    <row r="27" spans="1:74" ht="15" customHeight="1" x14ac:dyDescent="0.25">
      <c r="A27" s="36" t="s">
        <v>459</v>
      </c>
      <c r="B27" s="37" t="s">
        <v>460</v>
      </c>
      <c r="C27" s="38" t="s">
        <v>54</v>
      </c>
      <c r="D27" s="39">
        <v>47</v>
      </c>
      <c r="E27" s="39" t="s">
        <v>344</v>
      </c>
      <c r="F27" s="39" t="s">
        <v>222</v>
      </c>
      <c r="G27" s="39" t="s">
        <v>277</v>
      </c>
      <c r="H27" s="39" t="s">
        <v>57</v>
      </c>
      <c r="I27" s="40">
        <v>44944</v>
      </c>
      <c r="J27" s="39" t="s">
        <v>223</v>
      </c>
      <c r="K27" s="39" t="s">
        <v>224</v>
      </c>
      <c r="L27" s="39" t="s">
        <v>225</v>
      </c>
      <c r="M27" s="39" t="s">
        <v>226</v>
      </c>
      <c r="N27" s="39" t="s">
        <v>227</v>
      </c>
      <c r="O27" s="39" t="s">
        <v>228</v>
      </c>
      <c r="P27" s="41">
        <v>103500000</v>
      </c>
      <c r="Q27" s="41">
        <v>103500000</v>
      </c>
      <c r="R27" s="39">
        <v>11623</v>
      </c>
      <c r="S27" s="39" t="s">
        <v>89</v>
      </c>
      <c r="T27" s="39" t="s">
        <v>64</v>
      </c>
      <c r="U27" s="39" t="s">
        <v>65</v>
      </c>
      <c r="V27" s="39"/>
      <c r="W27" s="39" t="s">
        <v>229</v>
      </c>
      <c r="X27" s="39" t="s">
        <v>57</v>
      </c>
      <c r="Y27" s="40">
        <v>44946</v>
      </c>
      <c r="Z27" s="39" t="s">
        <v>67</v>
      </c>
      <c r="AA27" s="39"/>
      <c r="AB27" s="39" t="s">
        <v>68</v>
      </c>
      <c r="AC27" s="39" t="s">
        <v>69</v>
      </c>
      <c r="AD27" s="39" t="s">
        <v>425</v>
      </c>
      <c r="AE27" s="39">
        <v>1053512616</v>
      </c>
      <c r="AF27" s="39"/>
      <c r="AG27" s="39"/>
      <c r="AH27" s="39"/>
      <c r="AI27" s="39"/>
      <c r="AJ27" s="39"/>
      <c r="AK27" s="39"/>
      <c r="AL27" s="44">
        <f ca="1">+YEAR(TODAY())-YEAR(Tabla13[[#This Row],[FECHA DE NACIMIENTO]])</f>
        <v>123</v>
      </c>
      <c r="AM27" s="39">
        <v>21923</v>
      </c>
      <c r="AN27" s="40">
        <v>44946</v>
      </c>
      <c r="AO27" s="41">
        <v>103500000</v>
      </c>
      <c r="AP27" s="39"/>
      <c r="AQ27" s="39"/>
      <c r="AR27" s="39"/>
      <c r="AS27" s="45">
        <v>103500000</v>
      </c>
      <c r="AT27" s="39" t="s">
        <v>230</v>
      </c>
      <c r="AU27" s="40">
        <v>44945</v>
      </c>
      <c r="AV27" s="46" t="s">
        <v>74</v>
      </c>
      <c r="AW27" s="40">
        <v>44946</v>
      </c>
      <c r="AX27" s="40">
        <v>45291</v>
      </c>
      <c r="AY27" s="38">
        <f t="shared" si="0"/>
        <v>345</v>
      </c>
      <c r="AZ27" s="39" t="s">
        <v>92</v>
      </c>
      <c r="BA27" s="39">
        <v>19498970</v>
      </c>
      <c r="BB27" s="41"/>
      <c r="BC27" s="43"/>
      <c r="BD27" s="39"/>
      <c r="BE27" s="39"/>
      <c r="BF27" s="39"/>
      <c r="BG27" s="43"/>
      <c r="BH27" s="39"/>
      <c r="BI27" s="43"/>
      <c r="BJ27" s="41">
        <f>(Tabla13[[#This Row],[VALOR TOTAL CONTRATO + VF]]+Tabla13[[#This Row],[ADICION 1 ]]+Tabla13[[#This Row],[ADICION 2]]-Tabla13[[#This Row],[LIBERACION]])</f>
        <v>103500000</v>
      </c>
      <c r="BK27" s="39"/>
      <c r="BL27" s="43"/>
      <c r="BM27" s="43"/>
      <c r="BN27" s="39"/>
      <c r="BO27" s="39"/>
      <c r="BP27" s="43"/>
      <c r="BQ27" s="39"/>
      <c r="BR27" s="41"/>
      <c r="BS27" s="43"/>
      <c r="BT27" s="39">
        <f t="shared" si="1"/>
        <v>345</v>
      </c>
      <c r="BU27" s="43"/>
      <c r="BV27" s="46"/>
    </row>
    <row r="28" spans="1:74" ht="15" customHeight="1" x14ac:dyDescent="0.25">
      <c r="A28" s="36" t="s">
        <v>459</v>
      </c>
      <c r="B28" s="37" t="s">
        <v>460</v>
      </c>
      <c r="C28" s="38" t="s">
        <v>54</v>
      </c>
      <c r="D28" s="39">
        <v>46</v>
      </c>
      <c r="E28" s="39" t="s">
        <v>344</v>
      </c>
      <c r="F28" s="39" t="s">
        <v>269</v>
      </c>
      <c r="G28" s="39" t="s">
        <v>287</v>
      </c>
      <c r="H28" s="39" t="s">
        <v>57</v>
      </c>
      <c r="I28" s="40">
        <v>44944</v>
      </c>
      <c r="J28" s="39" t="s">
        <v>223</v>
      </c>
      <c r="K28" s="39" t="s">
        <v>224</v>
      </c>
      <c r="L28" s="39" t="s">
        <v>225</v>
      </c>
      <c r="M28" s="39" t="s">
        <v>270</v>
      </c>
      <c r="N28" s="39" t="s">
        <v>227</v>
      </c>
      <c r="O28" s="39" t="s">
        <v>228</v>
      </c>
      <c r="P28" s="41">
        <v>103500000</v>
      </c>
      <c r="Q28" s="41">
        <v>103500000</v>
      </c>
      <c r="R28" s="39">
        <v>11523</v>
      </c>
      <c r="S28" s="39" t="s">
        <v>89</v>
      </c>
      <c r="T28" s="39" t="s">
        <v>64</v>
      </c>
      <c r="U28" s="39" t="s">
        <v>65</v>
      </c>
      <c r="V28" s="39"/>
      <c r="W28" s="39" t="s">
        <v>271</v>
      </c>
      <c r="X28" s="39" t="s">
        <v>57</v>
      </c>
      <c r="Y28" s="40">
        <v>44945</v>
      </c>
      <c r="Z28" s="39" t="s">
        <v>67</v>
      </c>
      <c r="AA28" s="39"/>
      <c r="AB28" s="39" t="s">
        <v>68</v>
      </c>
      <c r="AC28" s="39" t="s">
        <v>69</v>
      </c>
      <c r="AD28" s="39" t="s">
        <v>431</v>
      </c>
      <c r="AE28" s="39">
        <v>1058038192</v>
      </c>
      <c r="AF28" s="39"/>
      <c r="AG28" s="39"/>
      <c r="AH28" s="39"/>
      <c r="AI28" s="39"/>
      <c r="AJ28" s="39"/>
      <c r="AK28" s="39"/>
      <c r="AL28" s="44">
        <f ca="1">+YEAR(TODAY())-YEAR(Tabla13[[#This Row],[FECHA DE NACIMIENTO]])</f>
        <v>123</v>
      </c>
      <c r="AM28" s="39">
        <v>20323</v>
      </c>
      <c r="AN28" s="40">
        <v>44945</v>
      </c>
      <c r="AO28" s="41">
        <v>103500000</v>
      </c>
      <c r="AP28" s="39"/>
      <c r="AQ28" s="39"/>
      <c r="AR28" s="39"/>
      <c r="AS28" s="45">
        <v>103500000</v>
      </c>
      <c r="AT28" s="39" t="s">
        <v>230</v>
      </c>
      <c r="AU28" s="40">
        <v>44944</v>
      </c>
      <c r="AV28" s="46" t="s">
        <v>74</v>
      </c>
      <c r="AW28" s="40">
        <v>44945</v>
      </c>
      <c r="AX28" s="40">
        <v>45291</v>
      </c>
      <c r="AY28" s="38">
        <f t="shared" si="0"/>
        <v>346</v>
      </c>
      <c r="AZ28" s="39" t="s">
        <v>92</v>
      </c>
      <c r="BA28" s="39">
        <v>19498970</v>
      </c>
      <c r="BB28" s="41"/>
      <c r="BC28" s="43"/>
      <c r="BD28" s="39"/>
      <c r="BE28" s="39"/>
      <c r="BF28" s="39"/>
      <c r="BG28" s="43"/>
      <c r="BH28" s="39"/>
      <c r="BI28" s="43"/>
      <c r="BJ28" s="41">
        <f>(Tabla13[[#This Row],[VALOR TOTAL CONTRATO + VF]]+Tabla13[[#This Row],[ADICION 1 ]]+Tabla13[[#This Row],[ADICION 2]]-Tabla13[[#This Row],[LIBERACION]])</f>
        <v>103500000</v>
      </c>
      <c r="BK28" s="39"/>
      <c r="BL28" s="43"/>
      <c r="BM28" s="43"/>
      <c r="BN28" s="39"/>
      <c r="BO28" s="39"/>
      <c r="BP28" s="43"/>
      <c r="BQ28" s="39"/>
      <c r="BR28" s="41"/>
      <c r="BS28" s="43"/>
      <c r="BT28" s="39">
        <f t="shared" si="1"/>
        <v>346</v>
      </c>
      <c r="BU28" s="43"/>
      <c r="BV28" s="46"/>
    </row>
    <row r="29" spans="1:74" ht="15" customHeight="1" x14ac:dyDescent="0.25">
      <c r="A29" s="36" t="s">
        <v>459</v>
      </c>
      <c r="B29" s="37" t="s">
        <v>460</v>
      </c>
      <c r="C29" s="38" t="s">
        <v>54</v>
      </c>
      <c r="D29" s="39">
        <v>115</v>
      </c>
      <c r="E29" s="39" t="s">
        <v>344</v>
      </c>
      <c r="F29" s="39" t="s">
        <v>272</v>
      </c>
      <c r="G29" s="39" t="s">
        <v>288</v>
      </c>
      <c r="H29" s="39" t="s">
        <v>57</v>
      </c>
      <c r="I29" s="40">
        <v>44944</v>
      </c>
      <c r="J29" s="39" t="s">
        <v>223</v>
      </c>
      <c r="K29" s="39" t="s">
        <v>224</v>
      </c>
      <c r="L29" s="39" t="s">
        <v>273</v>
      </c>
      <c r="M29" s="39" t="s">
        <v>274</v>
      </c>
      <c r="N29" s="39" t="s">
        <v>246</v>
      </c>
      <c r="O29" s="39" t="s">
        <v>247</v>
      </c>
      <c r="P29" s="41">
        <v>80000000</v>
      </c>
      <c r="Q29" s="41">
        <v>80000000</v>
      </c>
      <c r="R29" s="39">
        <v>12923</v>
      </c>
      <c r="S29" s="39" t="s">
        <v>63</v>
      </c>
      <c r="T29" s="39" t="s">
        <v>64</v>
      </c>
      <c r="U29" s="39" t="s">
        <v>65</v>
      </c>
      <c r="V29" s="39"/>
      <c r="W29" s="39" t="s">
        <v>275</v>
      </c>
      <c r="X29" s="39" t="s">
        <v>57</v>
      </c>
      <c r="Y29" s="40">
        <v>44949</v>
      </c>
      <c r="Z29" s="39" t="s">
        <v>67</v>
      </c>
      <c r="AA29" s="39"/>
      <c r="AB29" s="39" t="s">
        <v>68</v>
      </c>
      <c r="AC29" s="39" t="s">
        <v>69</v>
      </c>
      <c r="AD29" s="39" t="s">
        <v>276</v>
      </c>
      <c r="AE29" s="39">
        <v>79470333</v>
      </c>
      <c r="AF29" s="39"/>
      <c r="AG29" s="39"/>
      <c r="AH29" s="39"/>
      <c r="AI29" s="39"/>
      <c r="AJ29" s="39"/>
      <c r="AK29" s="39"/>
      <c r="AL29" s="44">
        <f ca="1">+YEAR(TODAY())-YEAR(Tabla13[[#This Row],[FECHA DE NACIMIENTO]])</f>
        <v>123</v>
      </c>
      <c r="AM29" s="39">
        <v>22423</v>
      </c>
      <c r="AN29" s="40">
        <v>44949</v>
      </c>
      <c r="AO29" s="41">
        <v>80000000</v>
      </c>
      <c r="AP29" s="39"/>
      <c r="AQ29" s="39"/>
      <c r="AR29" s="39"/>
      <c r="AS29" s="45">
        <v>80000000</v>
      </c>
      <c r="AT29" s="39" t="s">
        <v>230</v>
      </c>
      <c r="AU29" s="40">
        <v>44950</v>
      </c>
      <c r="AV29" s="46" t="s">
        <v>74</v>
      </c>
      <c r="AW29" s="40">
        <v>44949</v>
      </c>
      <c r="AX29" s="40">
        <v>45250</v>
      </c>
      <c r="AY29" s="38">
        <f t="shared" si="0"/>
        <v>301</v>
      </c>
      <c r="AZ29" s="39" t="s">
        <v>437</v>
      </c>
      <c r="BA29" s="39">
        <v>393757630</v>
      </c>
      <c r="BB29" s="41"/>
      <c r="BC29" s="43"/>
      <c r="BD29" s="39"/>
      <c r="BE29" s="39"/>
      <c r="BF29" s="39"/>
      <c r="BG29" s="43"/>
      <c r="BH29" s="39"/>
      <c r="BI29" s="43"/>
      <c r="BJ29" s="41">
        <f>(Tabla13[[#This Row],[VALOR TOTAL CONTRATO + VF]]+Tabla13[[#This Row],[ADICION 1 ]]+Tabla13[[#This Row],[ADICION 2]]-Tabla13[[#This Row],[LIBERACION]])</f>
        <v>80000000</v>
      </c>
      <c r="BK29" s="39"/>
      <c r="BL29" s="43"/>
      <c r="BM29" s="43"/>
      <c r="BN29" s="39"/>
      <c r="BO29" s="39"/>
      <c r="BP29" s="43"/>
      <c r="BQ29" s="39"/>
      <c r="BR29" s="41"/>
      <c r="BS29" s="43"/>
      <c r="BT29" s="39">
        <f t="shared" si="1"/>
        <v>301</v>
      </c>
      <c r="BU29" s="43"/>
      <c r="BV29" s="46"/>
    </row>
    <row r="30" spans="1:74" ht="15" customHeight="1" x14ac:dyDescent="0.25">
      <c r="A30" s="36" t="s">
        <v>459</v>
      </c>
      <c r="B30" s="37" t="s">
        <v>460</v>
      </c>
      <c r="C30" s="38" t="s">
        <v>54</v>
      </c>
      <c r="D30" s="39">
        <v>21</v>
      </c>
      <c r="E30" s="39" t="s">
        <v>221</v>
      </c>
      <c r="F30" s="39" t="s">
        <v>164</v>
      </c>
      <c r="G30" s="39" t="s">
        <v>165</v>
      </c>
      <c r="H30" s="39" t="s">
        <v>57</v>
      </c>
      <c r="I30" s="40">
        <v>44944</v>
      </c>
      <c r="J30" s="39" t="s">
        <v>59</v>
      </c>
      <c r="K30" s="39" t="s">
        <v>60</v>
      </c>
      <c r="L30" s="39" t="s">
        <v>166</v>
      </c>
      <c r="M30" s="39" t="s">
        <v>167</v>
      </c>
      <c r="N30" s="39" t="s">
        <v>168</v>
      </c>
      <c r="O30" s="39" t="s">
        <v>169</v>
      </c>
      <c r="P30" s="41">
        <v>70400000</v>
      </c>
      <c r="Q30" s="41">
        <v>70400000</v>
      </c>
      <c r="R30" s="39">
        <v>10323</v>
      </c>
      <c r="S30" s="39" t="s">
        <v>63</v>
      </c>
      <c r="T30" s="39" t="s">
        <v>64</v>
      </c>
      <c r="U30" s="39" t="s">
        <v>65</v>
      </c>
      <c r="V30" s="39"/>
      <c r="W30" s="39" t="s">
        <v>170</v>
      </c>
      <c r="X30" s="39" t="s">
        <v>57</v>
      </c>
      <c r="Y30" s="40">
        <v>44945</v>
      </c>
      <c r="Z30" s="39" t="s">
        <v>67</v>
      </c>
      <c r="AA30" s="39"/>
      <c r="AB30" s="39" t="s">
        <v>68</v>
      </c>
      <c r="AC30" s="39" t="s">
        <v>69</v>
      </c>
      <c r="AD30" s="39" t="s">
        <v>171</v>
      </c>
      <c r="AE30" s="39">
        <v>52258308</v>
      </c>
      <c r="AF30" s="39" t="s">
        <v>141</v>
      </c>
      <c r="AG30" s="39" t="s">
        <v>605</v>
      </c>
      <c r="AH30" s="39" t="s">
        <v>551</v>
      </c>
      <c r="AI30" s="39" t="s">
        <v>467</v>
      </c>
      <c r="AJ30" s="42" t="s">
        <v>517</v>
      </c>
      <c r="AK30" s="43">
        <v>27505</v>
      </c>
      <c r="AL30" s="44">
        <f ca="1">+YEAR(TODAY())-YEAR(Tabla13[[#This Row],[FECHA DE NACIMIENTO]])</f>
        <v>48</v>
      </c>
      <c r="AM30" s="39">
        <v>20423</v>
      </c>
      <c r="AN30" s="40">
        <v>44945</v>
      </c>
      <c r="AO30" s="41">
        <v>70400000</v>
      </c>
      <c r="AP30" s="39"/>
      <c r="AQ30" s="39"/>
      <c r="AR30" s="39"/>
      <c r="AS30" s="45">
        <v>70400000</v>
      </c>
      <c r="AT30" s="39" t="s">
        <v>75</v>
      </c>
      <c r="AU30" s="40">
        <v>44945</v>
      </c>
      <c r="AV30" s="46" t="s">
        <v>74</v>
      </c>
      <c r="AW30" s="40">
        <v>44949</v>
      </c>
      <c r="AX30" s="40">
        <v>45282</v>
      </c>
      <c r="AY30" s="38">
        <f t="shared" si="0"/>
        <v>333</v>
      </c>
      <c r="AZ30" s="39" t="s">
        <v>172</v>
      </c>
      <c r="BA30" s="39">
        <v>79279880</v>
      </c>
      <c r="BB30" s="41"/>
      <c r="BC30" s="43"/>
      <c r="BD30" s="39"/>
      <c r="BE30" s="39"/>
      <c r="BF30" s="39"/>
      <c r="BG30" s="43"/>
      <c r="BH30" s="39"/>
      <c r="BI30" s="43"/>
      <c r="BJ30" s="41">
        <f>(Tabla13[[#This Row],[VALOR TOTAL CONTRATO + VF]]+Tabla13[[#This Row],[ADICION 1 ]]+Tabla13[[#This Row],[ADICION 2]]-Tabla13[[#This Row],[LIBERACION]])</f>
        <v>70400000</v>
      </c>
      <c r="BK30" s="39"/>
      <c r="BL30" s="43"/>
      <c r="BM30" s="43"/>
      <c r="BN30" s="39"/>
      <c r="BO30" s="39"/>
      <c r="BP30" s="43"/>
      <c r="BQ30" s="39"/>
      <c r="BR30" s="41"/>
      <c r="BS30" s="43"/>
      <c r="BT30" s="39">
        <f t="shared" si="1"/>
        <v>333</v>
      </c>
      <c r="BU30" s="43"/>
      <c r="BV30" s="46"/>
    </row>
    <row r="31" spans="1:74" ht="15" customHeight="1" x14ac:dyDescent="0.25">
      <c r="A31" s="36" t="s">
        <v>459</v>
      </c>
      <c r="B31" s="37" t="s">
        <v>460</v>
      </c>
      <c r="C31" s="38" t="s">
        <v>54</v>
      </c>
      <c r="D31" s="39">
        <v>31</v>
      </c>
      <c r="E31" s="39" t="s">
        <v>221</v>
      </c>
      <c r="F31" s="39" t="s">
        <v>173</v>
      </c>
      <c r="G31" s="39" t="s">
        <v>174</v>
      </c>
      <c r="H31" s="39" t="s">
        <v>57</v>
      </c>
      <c r="I31" s="40">
        <v>44944</v>
      </c>
      <c r="J31" s="39" t="s">
        <v>59</v>
      </c>
      <c r="K31" s="39" t="s">
        <v>60</v>
      </c>
      <c r="L31" s="39" t="s">
        <v>99</v>
      </c>
      <c r="M31" s="39" t="s">
        <v>175</v>
      </c>
      <c r="N31" s="39">
        <v>80161504</v>
      </c>
      <c r="O31" s="39" t="s">
        <v>138</v>
      </c>
      <c r="P31" s="41">
        <v>69000000</v>
      </c>
      <c r="Q31" s="41">
        <v>69000000</v>
      </c>
      <c r="R31" s="39">
        <v>13623</v>
      </c>
      <c r="S31" s="39" t="s">
        <v>63</v>
      </c>
      <c r="T31" s="39" t="s">
        <v>64</v>
      </c>
      <c r="U31" s="39" t="s">
        <v>65</v>
      </c>
      <c r="V31" s="39"/>
      <c r="W31" s="39" t="s">
        <v>176</v>
      </c>
      <c r="X31" s="39" t="s">
        <v>57</v>
      </c>
      <c r="Y31" s="40">
        <v>44945</v>
      </c>
      <c r="Z31" s="39" t="s">
        <v>67</v>
      </c>
      <c r="AA31" s="39"/>
      <c r="AB31" s="39" t="s">
        <v>68</v>
      </c>
      <c r="AC31" s="39" t="s">
        <v>69</v>
      </c>
      <c r="AD31" s="39" t="s">
        <v>177</v>
      </c>
      <c r="AE31" s="39">
        <v>77172059</v>
      </c>
      <c r="AF31" s="39" t="s">
        <v>141</v>
      </c>
      <c r="AG31" s="39" t="s">
        <v>602</v>
      </c>
      <c r="AH31" s="39" t="s">
        <v>551</v>
      </c>
      <c r="AI31" s="39" t="s">
        <v>467</v>
      </c>
      <c r="AJ31" s="42" t="s">
        <v>517</v>
      </c>
      <c r="AK31" s="43">
        <v>26694</v>
      </c>
      <c r="AL31" s="44">
        <f ca="1">+YEAR(TODAY())-YEAR(Tabla13[[#This Row],[FECHA DE NACIMIENTO]])</f>
        <v>50</v>
      </c>
      <c r="AM31" s="39">
        <v>20123</v>
      </c>
      <c r="AN31" s="40">
        <v>44945</v>
      </c>
      <c r="AO31" s="41">
        <v>69000000</v>
      </c>
      <c r="AP31" s="39"/>
      <c r="AQ31" s="39"/>
      <c r="AR31" s="39"/>
      <c r="AS31" s="45">
        <v>69000000</v>
      </c>
      <c r="AT31" s="39" t="s">
        <v>75</v>
      </c>
      <c r="AU31" s="40">
        <v>44944</v>
      </c>
      <c r="AV31" s="46" t="s">
        <v>74</v>
      </c>
      <c r="AW31" s="40">
        <v>44945</v>
      </c>
      <c r="AX31" s="40">
        <v>45291</v>
      </c>
      <c r="AY31" s="38">
        <f t="shared" si="0"/>
        <v>346</v>
      </c>
      <c r="AZ31" s="39" t="s">
        <v>178</v>
      </c>
      <c r="BA31" s="39">
        <v>39757630</v>
      </c>
      <c r="BB31" s="41"/>
      <c r="BC31" s="43"/>
      <c r="BD31" s="39"/>
      <c r="BE31" s="39"/>
      <c r="BF31" s="39"/>
      <c r="BG31" s="43"/>
      <c r="BH31" s="39"/>
      <c r="BI31" s="43"/>
      <c r="BJ31" s="41">
        <f>(Tabla13[[#This Row],[VALOR TOTAL CONTRATO + VF]]+Tabla13[[#This Row],[ADICION 1 ]]+Tabla13[[#This Row],[ADICION 2]]-Tabla13[[#This Row],[LIBERACION]])</f>
        <v>69000000</v>
      </c>
      <c r="BK31" s="39"/>
      <c r="BL31" s="43"/>
      <c r="BM31" s="43"/>
      <c r="BN31" s="39"/>
      <c r="BO31" s="39"/>
      <c r="BP31" s="43"/>
      <c r="BQ31" s="39"/>
      <c r="BR31" s="41"/>
      <c r="BS31" s="43"/>
      <c r="BT31" s="39">
        <f t="shared" si="1"/>
        <v>346</v>
      </c>
      <c r="BU31" s="43"/>
      <c r="BV31" s="46"/>
    </row>
    <row r="32" spans="1:74" ht="15" customHeight="1" x14ac:dyDescent="0.25">
      <c r="A32" s="36" t="s">
        <v>459</v>
      </c>
      <c r="B32" s="37" t="s">
        <v>460</v>
      </c>
      <c r="C32" s="38" t="s">
        <v>54</v>
      </c>
      <c r="D32" s="39">
        <v>227</v>
      </c>
      <c r="E32" s="39" t="s">
        <v>345</v>
      </c>
      <c r="F32" s="39" t="s">
        <v>312</v>
      </c>
      <c r="G32" s="39" t="s">
        <v>986</v>
      </c>
      <c r="H32" s="39" t="s">
        <v>57</v>
      </c>
      <c r="I32" s="40">
        <v>44944</v>
      </c>
      <c r="J32" s="39" t="s">
        <v>59</v>
      </c>
      <c r="K32" s="39" t="s">
        <v>290</v>
      </c>
      <c r="L32" s="39" t="s">
        <v>313</v>
      </c>
      <c r="M32" s="39" t="s">
        <v>314</v>
      </c>
      <c r="N32" s="39">
        <v>80161504</v>
      </c>
      <c r="O32" s="39" t="s">
        <v>315</v>
      </c>
      <c r="P32" s="41">
        <v>51750000</v>
      </c>
      <c r="Q32" s="41">
        <v>51750000</v>
      </c>
      <c r="R32" s="39">
        <v>14423</v>
      </c>
      <c r="S32" s="39" t="s">
        <v>316</v>
      </c>
      <c r="T32" s="39" t="s">
        <v>64</v>
      </c>
      <c r="U32" s="39" t="s">
        <v>65</v>
      </c>
      <c r="V32" s="39"/>
      <c r="W32" s="39" t="s">
        <v>444</v>
      </c>
      <c r="X32" s="39" t="s">
        <v>57</v>
      </c>
      <c r="Y32" s="40">
        <v>44946</v>
      </c>
      <c r="Z32" s="39" t="s">
        <v>67</v>
      </c>
      <c r="AA32" s="39"/>
      <c r="AB32" s="39" t="s">
        <v>295</v>
      </c>
      <c r="AC32" s="39" t="s">
        <v>69</v>
      </c>
      <c r="AD32" s="39" t="s">
        <v>317</v>
      </c>
      <c r="AE32" s="39">
        <v>1140420436</v>
      </c>
      <c r="AF32" s="39"/>
      <c r="AG32" s="39"/>
      <c r="AH32" s="39"/>
      <c r="AI32" s="39"/>
      <c r="AJ32" s="39"/>
      <c r="AK32" s="39"/>
      <c r="AL32" s="44">
        <f ca="1">+YEAR(TODAY())-YEAR(Tabla13[[#This Row],[FECHA DE NACIMIENTO]])</f>
        <v>123</v>
      </c>
      <c r="AM32" s="39">
        <v>19823</v>
      </c>
      <c r="AN32" s="40">
        <v>44945</v>
      </c>
      <c r="AO32" s="45">
        <v>51750000</v>
      </c>
      <c r="AP32" s="39"/>
      <c r="AQ32" s="39"/>
      <c r="AR32" s="39"/>
      <c r="AS32" s="45">
        <v>51750000</v>
      </c>
      <c r="AT32" s="39" t="s">
        <v>297</v>
      </c>
      <c r="AU32" s="40">
        <v>44944</v>
      </c>
      <c r="AV32" s="46" t="s">
        <v>74</v>
      </c>
      <c r="AW32" s="40">
        <v>44946</v>
      </c>
      <c r="AX32" s="40">
        <v>45291</v>
      </c>
      <c r="AY32" s="38">
        <f t="shared" si="0"/>
        <v>345</v>
      </c>
      <c r="AZ32" s="39" t="s">
        <v>318</v>
      </c>
      <c r="BA32" s="39">
        <v>1020712442</v>
      </c>
      <c r="BB32" s="41"/>
      <c r="BC32" s="43"/>
      <c r="BD32" s="39"/>
      <c r="BE32" s="39"/>
      <c r="BF32" s="39"/>
      <c r="BG32" s="43"/>
      <c r="BH32" s="39"/>
      <c r="BI32" s="43"/>
      <c r="BJ32" s="41">
        <f>(Tabla13[[#This Row],[VALOR TOTAL CONTRATO + VF]]+Tabla13[[#This Row],[ADICION 1 ]]+Tabla13[[#This Row],[ADICION 2]]-Tabla13[[#This Row],[LIBERACION]])</f>
        <v>51750000</v>
      </c>
      <c r="BK32" s="39"/>
      <c r="BL32" s="43"/>
      <c r="BM32" s="43"/>
      <c r="BN32" s="39"/>
      <c r="BO32" s="39"/>
      <c r="BP32" s="43"/>
      <c r="BQ32" s="39"/>
      <c r="BR32" s="41"/>
      <c r="BS32" s="43"/>
      <c r="BT32" s="39">
        <f t="shared" si="1"/>
        <v>345</v>
      </c>
      <c r="BU32" s="43"/>
      <c r="BV32" s="46"/>
    </row>
    <row r="33" spans="1:74" ht="15" customHeight="1" x14ac:dyDescent="0.25">
      <c r="A33" s="36" t="s">
        <v>459</v>
      </c>
      <c r="B33" s="37" t="s">
        <v>460</v>
      </c>
      <c r="C33" s="38" t="s">
        <v>54</v>
      </c>
      <c r="D33" s="39">
        <v>230</v>
      </c>
      <c r="E33" s="39" t="s">
        <v>55</v>
      </c>
      <c r="F33" s="39" t="s">
        <v>76</v>
      </c>
      <c r="G33" s="39" t="s">
        <v>77</v>
      </c>
      <c r="H33" s="39" t="s">
        <v>57</v>
      </c>
      <c r="I33" s="40">
        <v>44945</v>
      </c>
      <c r="J33" s="39" t="s">
        <v>59</v>
      </c>
      <c r="K33" s="39" t="s">
        <v>60</v>
      </c>
      <c r="L33" s="39" t="s">
        <v>78</v>
      </c>
      <c r="M33" s="39" t="s">
        <v>80</v>
      </c>
      <c r="N33" s="39">
        <v>80161504</v>
      </c>
      <c r="O33" s="39" t="s">
        <v>62</v>
      </c>
      <c r="P33" s="41">
        <v>85500000</v>
      </c>
      <c r="Q33" s="41">
        <v>85500000</v>
      </c>
      <c r="R33" s="39">
        <v>14323</v>
      </c>
      <c r="S33" s="39" t="s">
        <v>63</v>
      </c>
      <c r="T33" s="39" t="s">
        <v>64</v>
      </c>
      <c r="U33" s="39" t="s">
        <v>65</v>
      </c>
      <c r="V33" s="39"/>
      <c r="W33" s="39" t="s">
        <v>81</v>
      </c>
      <c r="X33" s="39" t="s">
        <v>57</v>
      </c>
      <c r="Y33" s="40">
        <v>44945</v>
      </c>
      <c r="Z33" s="39" t="s">
        <v>67</v>
      </c>
      <c r="AA33" s="39"/>
      <c r="AB33" s="39" t="s">
        <v>68</v>
      </c>
      <c r="AC33" s="39" t="s">
        <v>69</v>
      </c>
      <c r="AD33" s="39" t="s">
        <v>82</v>
      </c>
      <c r="AE33" s="39">
        <v>42149816</v>
      </c>
      <c r="AF33" s="39"/>
      <c r="AG33" s="39"/>
      <c r="AH33" s="39"/>
      <c r="AI33" s="39"/>
      <c r="AJ33" s="39"/>
      <c r="AK33" s="39"/>
      <c r="AL33" s="44">
        <f ca="1">+YEAR(TODAY())-YEAR(Tabla13[[#This Row],[FECHA DE NACIMIENTO]])</f>
        <v>123</v>
      </c>
      <c r="AM33" s="39">
        <v>21523</v>
      </c>
      <c r="AN33" s="40">
        <v>44946</v>
      </c>
      <c r="AO33" s="41">
        <v>85500000</v>
      </c>
      <c r="AP33" s="39"/>
      <c r="AQ33" s="39"/>
      <c r="AR33" s="39"/>
      <c r="AS33" s="41">
        <v>85500000</v>
      </c>
      <c r="AT33" s="39" t="s">
        <v>75</v>
      </c>
      <c r="AU33" s="40">
        <v>44945</v>
      </c>
      <c r="AV33" s="46" t="s">
        <v>74</v>
      </c>
      <c r="AW33" s="40">
        <v>44946</v>
      </c>
      <c r="AX33" s="40">
        <v>45230</v>
      </c>
      <c r="AY33" s="38">
        <f t="shared" si="0"/>
        <v>284</v>
      </c>
      <c r="AZ33" s="39" t="s">
        <v>83</v>
      </c>
      <c r="BA33" s="39">
        <v>51712658</v>
      </c>
      <c r="BB33" s="41"/>
      <c r="BC33" s="43"/>
      <c r="BD33" s="39"/>
      <c r="BE33" s="39"/>
      <c r="BF33" s="39"/>
      <c r="BG33" s="43"/>
      <c r="BH33" s="39"/>
      <c r="BI33" s="43"/>
      <c r="BJ33" s="41">
        <f>(Tabla13[[#This Row],[VALOR TOTAL CONTRATO + VF]]+Tabla13[[#This Row],[ADICION 1 ]]+Tabla13[[#This Row],[ADICION 2]]-Tabla13[[#This Row],[LIBERACION]])</f>
        <v>85500000</v>
      </c>
      <c r="BK33" s="39"/>
      <c r="BL33" s="43"/>
      <c r="BM33" s="43"/>
      <c r="BN33" s="39"/>
      <c r="BO33" s="39"/>
      <c r="BP33" s="43"/>
      <c r="BQ33" s="39"/>
      <c r="BR33" s="41"/>
      <c r="BS33" s="43"/>
      <c r="BT33" s="39">
        <f t="shared" si="1"/>
        <v>284</v>
      </c>
      <c r="BU33" s="43"/>
      <c r="BV33" s="46"/>
    </row>
    <row r="34" spans="1:74" ht="15" customHeight="1" x14ac:dyDescent="0.25">
      <c r="A34" s="36" t="s">
        <v>459</v>
      </c>
      <c r="B34" s="37" t="s">
        <v>460</v>
      </c>
      <c r="C34" s="38" t="s">
        <v>54</v>
      </c>
      <c r="D34" s="39">
        <v>50</v>
      </c>
      <c r="E34" s="39" t="s">
        <v>344</v>
      </c>
      <c r="F34" s="39" t="s">
        <v>231</v>
      </c>
      <c r="G34" s="39" t="s">
        <v>278</v>
      </c>
      <c r="H34" s="39" t="s">
        <v>57</v>
      </c>
      <c r="I34" s="40">
        <v>44945</v>
      </c>
      <c r="J34" s="39" t="s">
        <v>223</v>
      </c>
      <c r="K34" s="39" t="s">
        <v>224</v>
      </c>
      <c r="L34" s="39" t="s">
        <v>225</v>
      </c>
      <c r="M34" s="39" t="s">
        <v>232</v>
      </c>
      <c r="N34" s="39" t="s">
        <v>227</v>
      </c>
      <c r="O34" s="39" t="s">
        <v>228</v>
      </c>
      <c r="P34" s="41">
        <v>115000000</v>
      </c>
      <c r="Q34" s="41">
        <v>115000000</v>
      </c>
      <c r="R34" s="39">
        <v>12023</v>
      </c>
      <c r="S34" s="39" t="s">
        <v>89</v>
      </c>
      <c r="T34" s="39" t="s">
        <v>64</v>
      </c>
      <c r="U34" s="39" t="s">
        <v>65</v>
      </c>
      <c r="V34" s="39"/>
      <c r="W34" s="39" t="s">
        <v>233</v>
      </c>
      <c r="X34" s="39" t="s">
        <v>57</v>
      </c>
      <c r="Y34" s="40">
        <v>44950</v>
      </c>
      <c r="Z34" s="39" t="s">
        <v>67</v>
      </c>
      <c r="AA34" s="39"/>
      <c r="AB34" s="39" t="s">
        <v>68</v>
      </c>
      <c r="AC34" s="39" t="s">
        <v>69</v>
      </c>
      <c r="AD34" s="39" t="s">
        <v>426</v>
      </c>
      <c r="AE34" s="39">
        <v>1127617145</v>
      </c>
      <c r="AF34" s="39"/>
      <c r="AG34" s="39"/>
      <c r="AH34" s="39"/>
      <c r="AI34" s="39"/>
      <c r="AJ34" s="39"/>
      <c r="AK34" s="39"/>
      <c r="AL34" s="44">
        <f ca="1">+YEAR(TODAY())-YEAR(Tabla13[[#This Row],[FECHA DE NACIMIENTO]])</f>
        <v>123</v>
      </c>
      <c r="AM34" s="39">
        <v>21823</v>
      </c>
      <c r="AN34" s="40">
        <v>44946</v>
      </c>
      <c r="AO34" s="41">
        <v>115000000</v>
      </c>
      <c r="AP34" s="39"/>
      <c r="AQ34" s="39"/>
      <c r="AR34" s="39"/>
      <c r="AS34" s="45">
        <v>115000000</v>
      </c>
      <c r="AT34" s="39" t="s">
        <v>230</v>
      </c>
      <c r="AU34" s="40">
        <v>44946</v>
      </c>
      <c r="AV34" s="46" t="s">
        <v>74</v>
      </c>
      <c r="AW34" s="40">
        <v>44950</v>
      </c>
      <c r="AX34" s="40">
        <v>45291</v>
      </c>
      <c r="AY34" s="38">
        <f t="shared" si="0"/>
        <v>341</v>
      </c>
      <c r="AZ34" s="39" t="s">
        <v>92</v>
      </c>
      <c r="BA34" s="39">
        <v>19498970</v>
      </c>
      <c r="BB34" s="41"/>
      <c r="BC34" s="43"/>
      <c r="BD34" s="39"/>
      <c r="BE34" s="39"/>
      <c r="BF34" s="39"/>
      <c r="BG34" s="43"/>
      <c r="BH34" s="39"/>
      <c r="BI34" s="43"/>
      <c r="BJ34" s="41">
        <f>(Tabla13[[#This Row],[VALOR TOTAL CONTRATO + VF]]+Tabla13[[#This Row],[ADICION 1 ]]+Tabla13[[#This Row],[ADICION 2]]-Tabla13[[#This Row],[LIBERACION]])</f>
        <v>115000000</v>
      </c>
      <c r="BK34" s="39"/>
      <c r="BL34" s="43"/>
      <c r="BM34" s="43"/>
      <c r="BN34" s="39"/>
      <c r="BO34" s="39"/>
      <c r="BP34" s="43"/>
      <c r="BQ34" s="39"/>
      <c r="BR34" s="41"/>
      <c r="BS34" s="43"/>
      <c r="BT34" s="39">
        <f t="shared" si="1"/>
        <v>341</v>
      </c>
      <c r="BU34" s="43"/>
      <c r="BV34" s="46"/>
    </row>
    <row r="35" spans="1:74" ht="15" customHeight="1" x14ac:dyDescent="0.25">
      <c r="A35" s="36" t="s">
        <v>459</v>
      </c>
      <c r="B35" s="37" t="s">
        <v>460</v>
      </c>
      <c r="C35" s="38" t="s">
        <v>54</v>
      </c>
      <c r="D35" s="39">
        <v>48</v>
      </c>
      <c r="E35" s="39" t="s">
        <v>344</v>
      </c>
      <c r="F35" s="39" t="s">
        <v>234</v>
      </c>
      <c r="G35" s="39" t="s">
        <v>279</v>
      </c>
      <c r="H35" s="39" t="s">
        <v>57</v>
      </c>
      <c r="I35" s="40">
        <v>44945</v>
      </c>
      <c r="J35" s="39" t="s">
        <v>223</v>
      </c>
      <c r="K35" s="39" t="s">
        <v>224</v>
      </c>
      <c r="L35" s="39" t="s">
        <v>225</v>
      </c>
      <c r="M35" s="39" t="s">
        <v>232</v>
      </c>
      <c r="N35" s="39" t="s">
        <v>227</v>
      </c>
      <c r="O35" s="39" t="s">
        <v>228</v>
      </c>
      <c r="P35" s="41">
        <v>115000000</v>
      </c>
      <c r="Q35" s="41">
        <v>115000000</v>
      </c>
      <c r="R35" s="39">
        <v>11823</v>
      </c>
      <c r="S35" s="39" t="s">
        <v>89</v>
      </c>
      <c r="T35" s="39" t="s">
        <v>64</v>
      </c>
      <c r="U35" s="39" t="s">
        <v>65</v>
      </c>
      <c r="V35" s="39"/>
      <c r="W35" s="39" t="s">
        <v>235</v>
      </c>
      <c r="X35" s="39" t="s">
        <v>57</v>
      </c>
      <c r="Y35" s="40">
        <v>44950</v>
      </c>
      <c r="Z35" s="39" t="s">
        <v>67</v>
      </c>
      <c r="AA35" s="39"/>
      <c r="AB35" s="39" t="s">
        <v>68</v>
      </c>
      <c r="AC35" s="39" t="s">
        <v>69</v>
      </c>
      <c r="AD35" s="39" t="s">
        <v>236</v>
      </c>
      <c r="AE35" s="39">
        <v>72001417</v>
      </c>
      <c r="AF35" s="39"/>
      <c r="AG35" s="39"/>
      <c r="AH35" s="39"/>
      <c r="AI35" s="39"/>
      <c r="AJ35" s="39"/>
      <c r="AK35" s="39"/>
      <c r="AL35" s="44">
        <f ca="1">+YEAR(TODAY())-YEAR(Tabla13[[#This Row],[FECHA DE NACIMIENTO]])</f>
        <v>123</v>
      </c>
      <c r="AM35" s="39">
        <v>22323</v>
      </c>
      <c r="AN35" s="40">
        <v>44949</v>
      </c>
      <c r="AO35" s="41">
        <v>115000000</v>
      </c>
      <c r="AP35" s="39"/>
      <c r="AQ35" s="39"/>
      <c r="AR35" s="39"/>
      <c r="AS35" s="45">
        <v>115000000</v>
      </c>
      <c r="AT35" s="39" t="s">
        <v>230</v>
      </c>
      <c r="AU35" s="40">
        <v>44949</v>
      </c>
      <c r="AV35" s="46" t="s">
        <v>74</v>
      </c>
      <c r="AW35" s="40">
        <v>44950</v>
      </c>
      <c r="AX35" s="40">
        <v>45291</v>
      </c>
      <c r="AY35" s="38">
        <f t="shared" si="0"/>
        <v>341</v>
      </c>
      <c r="AZ35" s="39" t="s">
        <v>92</v>
      </c>
      <c r="BA35" s="39">
        <v>19498970</v>
      </c>
      <c r="BB35" s="41"/>
      <c r="BC35" s="43"/>
      <c r="BD35" s="39"/>
      <c r="BE35" s="39"/>
      <c r="BF35" s="39"/>
      <c r="BG35" s="43"/>
      <c r="BH35" s="39"/>
      <c r="BI35" s="43"/>
      <c r="BJ35" s="41">
        <f>(Tabla13[[#This Row],[VALOR TOTAL CONTRATO + VF]]+Tabla13[[#This Row],[ADICION 1 ]]+Tabla13[[#This Row],[ADICION 2]]-Tabla13[[#This Row],[LIBERACION]])</f>
        <v>115000000</v>
      </c>
      <c r="BK35" s="39"/>
      <c r="BL35" s="43"/>
      <c r="BM35" s="43"/>
      <c r="BN35" s="39"/>
      <c r="BO35" s="39"/>
      <c r="BP35" s="43"/>
      <c r="BQ35" s="39"/>
      <c r="BR35" s="41"/>
      <c r="BS35" s="43"/>
      <c r="BT35" s="39">
        <f t="shared" si="1"/>
        <v>341</v>
      </c>
      <c r="BU35" s="43"/>
      <c r="BV35" s="46"/>
    </row>
    <row r="36" spans="1:74" ht="15" customHeight="1" x14ac:dyDescent="0.25">
      <c r="A36" s="36" t="s">
        <v>459</v>
      </c>
      <c r="B36" s="37" t="s">
        <v>460</v>
      </c>
      <c r="C36" s="38" t="s">
        <v>54</v>
      </c>
      <c r="D36" s="39">
        <v>49</v>
      </c>
      <c r="E36" s="39" t="s">
        <v>344</v>
      </c>
      <c r="F36" s="39" t="s">
        <v>237</v>
      </c>
      <c r="G36" s="39" t="s">
        <v>280</v>
      </c>
      <c r="H36" s="39" t="s">
        <v>57</v>
      </c>
      <c r="I36" s="40">
        <v>44945</v>
      </c>
      <c r="J36" s="39" t="s">
        <v>223</v>
      </c>
      <c r="K36" s="39" t="s">
        <v>224</v>
      </c>
      <c r="L36" s="39" t="s">
        <v>225</v>
      </c>
      <c r="M36" s="39" t="s">
        <v>238</v>
      </c>
      <c r="N36" s="39" t="s">
        <v>227</v>
      </c>
      <c r="O36" s="39" t="s">
        <v>228</v>
      </c>
      <c r="P36" s="41">
        <v>115000000</v>
      </c>
      <c r="Q36" s="41">
        <v>115000000</v>
      </c>
      <c r="R36" s="39">
        <v>11923</v>
      </c>
      <c r="S36" s="39" t="s">
        <v>89</v>
      </c>
      <c r="T36" s="39" t="s">
        <v>64</v>
      </c>
      <c r="U36" s="39" t="s">
        <v>65</v>
      </c>
      <c r="V36" s="39"/>
      <c r="W36" s="39" t="s">
        <v>239</v>
      </c>
      <c r="X36" s="39" t="s">
        <v>57</v>
      </c>
      <c r="Y36" s="40">
        <v>44950</v>
      </c>
      <c r="Z36" s="39" t="s">
        <v>67</v>
      </c>
      <c r="AA36" s="39"/>
      <c r="AB36" s="39" t="s">
        <v>68</v>
      </c>
      <c r="AC36" s="39" t="s">
        <v>69</v>
      </c>
      <c r="AD36" s="39" t="s">
        <v>427</v>
      </c>
      <c r="AE36" s="39">
        <v>1070608285</v>
      </c>
      <c r="AF36" s="39"/>
      <c r="AG36" s="39"/>
      <c r="AH36" s="39"/>
      <c r="AI36" s="39"/>
      <c r="AJ36" s="39"/>
      <c r="AK36" s="39"/>
      <c r="AL36" s="44">
        <f ca="1">+YEAR(TODAY())-YEAR(Tabla13[[#This Row],[FECHA DE NACIMIENTO]])</f>
        <v>123</v>
      </c>
      <c r="AM36" s="39">
        <v>24323</v>
      </c>
      <c r="AN36" s="40">
        <v>44950</v>
      </c>
      <c r="AO36" s="41">
        <v>115000000</v>
      </c>
      <c r="AP36" s="39"/>
      <c r="AQ36" s="39"/>
      <c r="AR36" s="39"/>
      <c r="AS36" s="45">
        <v>115000000</v>
      </c>
      <c r="AT36" s="39" t="s">
        <v>230</v>
      </c>
      <c r="AU36" s="40">
        <v>44949</v>
      </c>
      <c r="AV36" s="46" t="s">
        <v>74</v>
      </c>
      <c r="AW36" s="40">
        <v>44950</v>
      </c>
      <c r="AX36" s="40">
        <v>45291</v>
      </c>
      <c r="AY36" s="38">
        <f t="shared" si="0"/>
        <v>341</v>
      </c>
      <c r="AZ36" s="39" t="s">
        <v>92</v>
      </c>
      <c r="BA36" s="39">
        <v>19498970</v>
      </c>
      <c r="BB36" s="41"/>
      <c r="BC36" s="43"/>
      <c r="BD36" s="39"/>
      <c r="BE36" s="39"/>
      <c r="BF36" s="39"/>
      <c r="BG36" s="43"/>
      <c r="BH36" s="39"/>
      <c r="BI36" s="43"/>
      <c r="BJ36" s="41">
        <f>(Tabla13[[#This Row],[VALOR TOTAL CONTRATO + VF]]+Tabla13[[#This Row],[ADICION 1 ]]+Tabla13[[#This Row],[ADICION 2]]-Tabla13[[#This Row],[LIBERACION]])</f>
        <v>115000000</v>
      </c>
      <c r="BK36" s="39"/>
      <c r="BL36" s="43"/>
      <c r="BM36" s="43"/>
      <c r="BN36" s="39"/>
      <c r="BO36" s="39"/>
      <c r="BP36" s="43"/>
      <c r="BQ36" s="39"/>
      <c r="BR36" s="41"/>
      <c r="BS36" s="43"/>
      <c r="BT36" s="39">
        <f t="shared" si="1"/>
        <v>341</v>
      </c>
      <c r="BU36" s="43"/>
      <c r="BV36" s="46"/>
    </row>
    <row r="37" spans="1:74" ht="15" customHeight="1" x14ac:dyDescent="0.25">
      <c r="A37" s="36" t="s">
        <v>459</v>
      </c>
      <c r="B37" s="37" t="s">
        <v>460</v>
      </c>
      <c r="C37" s="38" t="s">
        <v>54</v>
      </c>
      <c r="D37" s="39">
        <v>26</v>
      </c>
      <c r="E37" s="39" t="s">
        <v>344</v>
      </c>
      <c r="F37" s="39" t="s">
        <v>243</v>
      </c>
      <c r="G37" s="39" t="s">
        <v>282</v>
      </c>
      <c r="H37" s="39" t="s">
        <v>57</v>
      </c>
      <c r="I37" s="40">
        <v>44945</v>
      </c>
      <c r="J37" s="39" t="s">
        <v>223</v>
      </c>
      <c r="K37" s="39" t="s">
        <v>224</v>
      </c>
      <c r="L37" s="39" t="s">
        <v>244</v>
      </c>
      <c r="M37" s="39" t="s">
        <v>245</v>
      </c>
      <c r="N37" s="39" t="s">
        <v>246</v>
      </c>
      <c r="O37" s="39" t="s">
        <v>247</v>
      </c>
      <c r="P37" s="41">
        <v>60000000</v>
      </c>
      <c r="Q37" s="41">
        <v>60000000</v>
      </c>
      <c r="R37" s="39">
        <v>9923</v>
      </c>
      <c r="S37" s="39" t="s">
        <v>63</v>
      </c>
      <c r="T37" s="39" t="s">
        <v>64</v>
      </c>
      <c r="U37" s="39" t="s">
        <v>65</v>
      </c>
      <c r="V37" s="39"/>
      <c r="W37" s="39" t="s">
        <v>248</v>
      </c>
      <c r="X37" s="39" t="s">
        <v>57</v>
      </c>
      <c r="Y37" s="40">
        <v>44949</v>
      </c>
      <c r="Z37" s="39" t="s">
        <v>67</v>
      </c>
      <c r="AA37" s="39"/>
      <c r="AB37" s="39" t="s">
        <v>68</v>
      </c>
      <c r="AC37" s="39" t="s">
        <v>69</v>
      </c>
      <c r="AD37" s="39" t="s">
        <v>429</v>
      </c>
      <c r="AE37" s="39">
        <v>1075243527</v>
      </c>
      <c r="AF37" s="39"/>
      <c r="AG37" s="39"/>
      <c r="AH37" s="39"/>
      <c r="AI37" s="39"/>
      <c r="AJ37" s="39"/>
      <c r="AK37" s="39"/>
      <c r="AL37" s="44">
        <f ca="1">+YEAR(TODAY())-YEAR(Tabla13[[#This Row],[FECHA DE NACIMIENTO]])</f>
        <v>123</v>
      </c>
      <c r="AM37" s="39">
        <v>21623</v>
      </c>
      <c r="AN37" s="40">
        <v>44946</v>
      </c>
      <c r="AO37" s="41">
        <v>60000000</v>
      </c>
      <c r="AP37" s="39"/>
      <c r="AQ37" s="39"/>
      <c r="AR37" s="39"/>
      <c r="AS37" s="45">
        <v>60000000</v>
      </c>
      <c r="AT37" s="39" t="s">
        <v>230</v>
      </c>
      <c r="AU37" s="40">
        <v>44945</v>
      </c>
      <c r="AV37" s="46" t="s">
        <v>74</v>
      </c>
      <c r="AW37" s="40">
        <v>44949</v>
      </c>
      <c r="AX37" s="40">
        <v>45249</v>
      </c>
      <c r="AY37" s="38">
        <f t="shared" si="0"/>
        <v>300</v>
      </c>
      <c r="AZ37" s="39" t="s">
        <v>172</v>
      </c>
      <c r="BA37" s="39">
        <v>79279880</v>
      </c>
      <c r="BB37" s="41"/>
      <c r="BC37" s="43"/>
      <c r="BD37" s="39"/>
      <c r="BE37" s="39"/>
      <c r="BF37" s="39"/>
      <c r="BG37" s="43"/>
      <c r="BH37" s="39"/>
      <c r="BI37" s="43"/>
      <c r="BJ37" s="41">
        <f>(Tabla13[[#This Row],[VALOR TOTAL CONTRATO + VF]]+Tabla13[[#This Row],[ADICION 1 ]]+Tabla13[[#This Row],[ADICION 2]]-Tabla13[[#This Row],[LIBERACION]])</f>
        <v>60000000</v>
      </c>
      <c r="BK37" s="39"/>
      <c r="BL37" s="43"/>
      <c r="BM37" s="43"/>
      <c r="BN37" s="39"/>
      <c r="BO37" s="39"/>
      <c r="BP37" s="43"/>
      <c r="BQ37" s="39"/>
      <c r="BR37" s="41"/>
      <c r="BS37" s="43"/>
      <c r="BT37" s="39">
        <f t="shared" si="1"/>
        <v>300</v>
      </c>
      <c r="BU37" s="43"/>
      <c r="BV37" s="46"/>
    </row>
    <row r="38" spans="1:74" ht="15" customHeight="1" x14ac:dyDescent="0.25">
      <c r="A38" s="36" t="s">
        <v>459</v>
      </c>
      <c r="B38" s="37" t="s">
        <v>460</v>
      </c>
      <c r="C38" s="38" t="s">
        <v>54</v>
      </c>
      <c r="D38" s="39">
        <v>52</v>
      </c>
      <c r="E38" s="39" t="s">
        <v>55</v>
      </c>
      <c r="F38" s="39" t="s">
        <v>93</v>
      </c>
      <c r="G38" s="39" t="s">
        <v>94</v>
      </c>
      <c r="H38" s="39" t="s">
        <v>57</v>
      </c>
      <c r="I38" s="40">
        <v>44946</v>
      </c>
      <c r="J38" s="39" t="s">
        <v>59</v>
      </c>
      <c r="K38" s="39" t="s">
        <v>60</v>
      </c>
      <c r="L38" s="39" t="s">
        <v>86</v>
      </c>
      <c r="M38" s="39" t="s">
        <v>95</v>
      </c>
      <c r="N38" s="39">
        <v>81111500</v>
      </c>
      <c r="O38" s="39" t="s">
        <v>88</v>
      </c>
      <c r="P38" s="41">
        <v>92000000</v>
      </c>
      <c r="Q38" s="41">
        <v>92000000</v>
      </c>
      <c r="R38" s="39">
        <v>11023</v>
      </c>
      <c r="S38" s="39" t="s">
        <v>89</v>
      </c>
      <c r="T38" s="39" t="s">
        <v>64</v>
      </c>
      <c r="U38" s="39" t="s">
        <v>65</v>
      </c>
      <c r="V38" s="39"/>
      <c r="W38" s="39" t="s">
        <v>96</v>
      </c>
      <c r="X38" s="39" t="s">
        <v>57</v>
      </c>
      <c r="Y38" s="40">
        <v>44946</v>
      </c>
      <c r="Z38" s="39" t="s">
        <v>67</v>
      </c>
      <c r="AA38" s="39"/>
      <c r="AB38" s="39" t="s">
        <v>68</v>
      </c>
      <c r="AC38" s="39" t="s">
        <v>69</v>
      </c>
      <c r="AD38" s="39" t="s">
        <v>97</v>
      </c>
      <c r="AE38" s="39">
        <v>80798819</v>
      </c>
      <c r="AF38" s="39"/>
      <c r="AG38" s="39"/>
      <c r="AH38" s="39"/>
      <c r="AI38" s="39"/>
      <c r="AJ38" s="39"/>
      <c r="AK38" s="39"/>
      <c r="AL38" s="44">
        <f ca="1">+YEAR(TODAY())-YEAR(Tabla13[[#This Row],[FECHA DE NACIMIENTO]])</f>
        <v>123</v>
      </c>
      <c r="AM38" s="39">
        <v>22023</v>
      </c>
      <c r="AN38" s="40">
        <v>44949</v>
      </c>
      <c r="AO38" s="41">
        <v>92000000</v>
      </c>
      <c r="AP38" s="39"/>
      <c r="AQ38" s="39"/>
      <c r="AR38" s="39"/>
      <c r="AS38" s="41">
        <v>92000000</v>
      </c>
      <c r="AT38" s="39" t="s">
        <v>75</v>
      </c>
      <c r="AU38" s="40">
        <v>44946</v>
      </c>
      <c r="AV38" s="46" t="s">
        <v>74</v>
      </c>
      <c r="AW38" s="40">
        <v>44949</v>
      </c>
      <c r="AX38" s="40">
        <v>45291</v>
      </c>
      <c r="AY38" s="38">
        <f t="shared" si="0"/>
        <v>342</v>
      </c>
      <c r="AZ38" s="39" t="s">
        <v>92</v>
      </c>
      <c r="BA38" s="39">
        <v>19498970</v>
      </c>
      <c r="BB38" s="41"/>
      <c r="BC38" s="43"/>
      <c r="BD38" s="39"/>
      <c r="BE38" s="39"/>
      <c r="BF38" s="39"/>
      <c r="BG38" s="43"/>
      <c r="BH38" s="39"/>
      <c r="BI38" s="43"/>
      <c r="BJ38" s="41">
        <f>(Tabla13[[#This Row],[VALOR TOTAL CONTRATO + VF]]+Tabla13[[#This Row],[ADICION 1 ]]+Tabla13[[#This Row],[ADICION 2]]-Tabla13[[#This Row],[LIBERACION]])</f>
        <v>92000000</v>
      </c>
      <c r="BK38" s="39"/>
      <c r="BL38" s="43"/>
      <c r="BM38" s="43"/>
      <c r="BN38" s="39"/>
      <c r="BO38" s="39"/>
      <c r="BP38" s="43"/>
      <c r="BQ38" s="39"/>
      <c r="BR38" s="41"/>
      <c r="BS38" s="43"/>
      <c r="BT38" s="39">
        <f t="shared" si="1"/>
        <v>342</v>
      </c>
      <c r="BU38" s="43"/>
      <c r="BV38" s="46"/>
    </row>
    <row r="39" spans="1:74" ht="15" customHeight="1" x14ac:dyDescent="0.25">
      <c r="A39" s="36" t="s">
        <v>459</v>
      </c>
      <c r="B39" s="37" t="s">
        <v>460</v>
      </c>
      <c r="C39" s="38" t="s">
        <v>54</v>
      </c>
      <c r="D39" s="39">
        <v>55</v>
      </c>
      <c r="E39" s="39" t="s">
        <v>55</v>
      </c>
      <c r="F39" s="39" t="s">
        <v>111</v>
      </c>
      <c r="G39" s="39" t="s">
        <v>112</v>
      </c>
      <c r="H39" s="39" t="s">
        <v>57</v>
      </c>
      <c r="I39" s="40">
        <v>44946</v>
      </c>
      <c r="J39" s="39" t="s">
        <v>59</v>
      </c>
      <c r="K39" s="39" t="s">
        <v>60</v>
      </c>
      <c r="L39" s="39" t="s">
        <v>86</v>
      </c>
      <c r="M39" s="39" t="s">
        <v>113</v>
      </c>
      <c r="N39" s="39">
        <v>80101500</v>
      </c>
      <c r="O39" s="39" t="s">
        <v>62</v>
      </c>
      <c r="P39" s="41">
        <v>121000000</v>
      </c>
      <c r="Q39" s="41">
        <v>121000000</v>
      </c>
      <c r="R39" s="39">
        <v>13323</v>
      </c>
      <c r="S39" s="39" t="s">
        <v>89</v>
      </c>
      <c r="T39" s="39" t="s">
        <v>64</v>
      </c>
      <c r="U39" s="39" t="s">
        <v>65</v>
      </c>
      <c r="V39" s="39"/>
      <c r="W39" s="39" t="s">
        <v>114</v>
      </c>
      <c r="X39" s="39" t="s">
        <v>57</v>
      </c>
      <c r="Y39" s="40">
        <v>44946</v>
      </c>
      <c r="Z39" s="39" t="s">
        <v>67</v>
      </c>
      <c r="AA39" s="39"/>
      <c r="AB39" s="39" t="s">
        <v>68</v>
      </c>
      <c r="AC39" s="39" t="s">
        <v>69</v>
      </c>
      <c r="AD39" s="39" t="s">
        <v>421</v>
      </c>
      <c r="AE39" s="39">
        <v>52440980</v>
      </c>
      <c r="AF39" s="39"/>
      <c r="AG39" s="39"/>
      <c r="AH39" s="39"/>
      <c r="AI39" s="39"/>
      <c r="AJ39" s="39"/>
      <c r="AK39" s="39"/>
      <c r="AL39" s="44">
        <f ca="1">+YEAR(TODAY())-YEAR(Tabla13[[#This Row],[FECHA DE NACIMIENTO]])</f>
        <v>123</v>
      </c>
      <c r="AM39" s="39">
        <v>22123</v>
      </c>
      <c r="AN39" s="40">
        <v>44949</v>
      </c>
      <c r="AO39" s="41">
        <v>121000000</v>
      </c>
      <c r="AP39" s="39"/>
      <c r="AQ39" s="39"/>
      <c r="AR39" s="39"/>
      <c r="AS39" s="45">
        <v>121000000</v>
      </c>
      <c r="AT39" s="39" t="s">
        <v>75</v>
      </c>
      <c r="AU39" s="40">
        <v>44949</v>
      </c>
      <c r="AV39" s="46" t="s">
        <v>74</v>
      </c>
      <c r="AW39" s="40">
        <v>44949</v>
      </c>
      <c r="AX39" s="40">
        <v>45291</v>
      </c>
      <c r="AY39" s="38">
        <f t="shared" si="0"/>
        <v>342</v>
      </c>
      <c r="AZ39" s="39" t="s">
        <v>92</v>
      </c>
      <c r="BA39" s="39">
        <v>19498970</v>
      </c>
      <c r="BB39" s="41"/>
      <c r="BC39" s="43"/>
      <c r="BD39" s="39"/>
      <c r="BE39" s="39"/>
      <c r="BF39" s="39"/>
      <c r="BG39" s="43"/>
      <c r="BH39" s="39"/>
      <c r="BI39" s="43"/>
      <c r="BJ39" s="41">
        <f>(Tabla13[[#This Row],[VALOR TOTAL CONTRATO + VF]]+Tabla13[[#This Row],[ADICION 1 ]]+Tabla13[[#This Row],[ADICION 2]]-Tabla13[[#This Row],[LIBERACION]])</f>
        <v>121000000</v>
      </c>
      <c r="BK39" s="39"/>
      <c r="BL39" s="43"/>
      <c r="BM39" s="43"/>
      <c r="BN39" s="39"/>
      <c r="BO39" s="39"/>
      <c r="BP39" s="43"/>
      <c r="BQ39" s="39"/>
      <c r="BR39" s="41"/>
      <c r="BS39" s="43"/>
      <c r="BT39" s="39">
        <f t="shared" si="1"/>
        <v>342</v>
      </c>
      <c r="BU39" s="43"/>
      <c r="BV39" s="46"/>
    </row>
    <row r="40" spans="1:74" ht="15" customHeight="1" x14ac:dyDescent="0.25">
      <c r="A40" s="36" t="s">
        <v>459</v>
      </c>
      <c r="B40" s="37" t="s">
        <v>460</v>
      </c>
      <c r="C40" s="38" t="s">
        <v>54</v>
      </c>
      <c r="D40" s="39">
        <v>226</v>
      </c>
      <c r="E40" s="39" t="s">
        <v>345</v>
      </c>
      <c r="F40" s="39" t="s">
        <v>319</v>
      </c>
      <c r="G40" s="39" t="s">
        <v>987</v>
      </c>
      <c r="H40" s="39" t="s">
        <v>57</v>
      </c>
      <c r="I40" s="40">
        <v>44946</v>
      </c>
      <c r="J40" s="39" t="s">
        <v>59</v>
      </c>
      <c r="K40" s="39" t="s">
        <v>290</v>
      </c>
      <c r="L40" s="39" t="s">
        <v>313</v>
      </c>
      <c r="M40" s="39" t="s">
        <v>320</v>
      </c>
      <c r="N40" s="39">
        <v>80161504</v>
      </c>
      <c r="O40" s="39" t="s">
        <v>315</v>
      </c>
      <c r="P40" s="41">
        <v>57500000</v>
      </c>
      <c r="Q40" s="41">
        <v>57500000</v>
      </c>
      <c r="R40" s="39">
        <v>14223</v>
      </c>
      <c r="S40" s="39" t="s">
        <v>63</v>
      </c>
      <c r="T40" s="39" t="s">
        <v>64</v>
      </c>
      <c r="U40" s="39" t="s">
        <v>65</v>
      </c>
      <c r="V40" s="39"/>
      <c r="W40" s="39" t="s">
        <v>445</v>
      </c>
      <c r="X40" s="39" t="s">
        <v>57</v>
      </c>
      <c r="Y40" s="40">
        <v>44949</v>
      </c>
      <c r="Z40" s="39" t="s">
        <v>67</v>
      </c>
      <c r="AA40" s="39"/>
      <c r="AB40" s="39" t="s">
        <v>295</v>
      </c>
      <c r="AC40" s="39" t="s">
        <v>69</v>
      </c>
      <c r="AD40" s="39" t="s">
        <v>321</v>
      </c>
      <c r="AE40" s="39">
        <v>1020743029</v>
      </c>
      <c r="AF40" s="39"/>
      <c r="AG40" s="39"/>
      <c r="AH40" s="39"/>
      <c r="AI40" s="39"/>
      <c r="AJ40" s="39"/>
      <c r="AK40" s="39"/>
      <c r="AL40" s="44">
        <f ca="1">+YEAR(TODAY())-YEAR(Tabla13[[#This Row],[FECHA DE NACIMIENTO]])</f>
        <v>123</v>
      </c>
      <c r="AM40" s="39">
        <v>21723</v>
      </c>
      <c r="AN40" s="40">
        <v>44946</v>
      </c>
      <c r="AO40" s="45">
        <v>57500000</v>
      </c>
      <c r="AP40" s="39"/>
      <c r="AQ40" s="39"/>
      <c r="AR40" s="39"/>
      <c r="AS40" s="45">
        <v>57500000</v>
      </c>
      <c r="AT40" s="39" t="s">
        <v>297</v>
      </c>
      <c r="AU40" s="40">
        <v>44949</v>
      </c>
      <c r="AV40" s="46" t="s">
        <v>74</v>
      </c>
      <c r="AW40" s="40">
        <v>44950</v>
      </c>
      <c r="AX40" s="40">
        <v>45291</v>
      </c>
      <c r="AY40" s="38">
        <f t="shared" si="0"/>
        <v>341</v>
      </c>
      <c r="AZ40" s="39" t="s">
        <v>322</v>
      </c>
      <c r="BA40" s="39">
        <v>51712658</v>
      </c>
      <c r="BB40" s="41"/>
      <c r="BC40" s="43"/>
      <c r="BD40" s="39"/>
      <c r="BE40" s="39"/>
      <c r="BF40" s="39"/>
      <c r="BG40" s="43"/>
      <c r="BH40" s="39"/>
      <c r="BI40" s="43"/>
      <c r="BJ40" s="41">
        <f>(Tabla13[[#This Row],[VALOR TOTAL CONTRATO + VF]]+Tabla13[[#This Row],[ADICION 1 ]]+Tabla13[[#This Row],[ADICION 2]]-Tabla13[[#This Row],[LIBERACION]])</f>
        <v>57500000</v>
      </c>
      <c r="BK40" s="39"/>
      <c r="BL40" s="43"/>
      <c r="BM40" s="43"/>
      <c r="BN40" s="39"/>
      <c r="BO40" s="39"/>
      <c r="BP40" s="43"/>
      <c r="BQ40" s="39"/>
      <c r="BR40" s="41"/>
      <c r="BS40" s="43"/>
      <c r="BT40" s="39">
        <f t="shared" si="1"/>
        <v>341</v>
      </c>
      <c r="BU40" s="43"/>
      <c r="BV40" s="46"/>
    </row>
    <row r="41" spans="1:74" ht="15" customHeight="1" x14ac:dyDescent="0.25">
      <c r="A41" s="36" t="s">
        <v>459</v>
      </c>
      <c r="B41" s="37" t="s">
        <v>460</v>
      </c>
      <c r="C41" s="38" t="s">
        <v>54</v>
      </c>
      <c r="D41" s="39">
        <v>29</v>
      </c>
      <c r="E41" s="39" t="s">
        <v>344</v>
      </c>
      <c r="F41" s="39" t="s">
        <v>249</v>
      </c>
      <c r="G41" s="39" t="s">
        <v>283</v>
      </c>
      <c r="H41" s="39" t="s">
        <v>57</v>
      </c>
      <c r="I41" s="40">
        <v>44949</v>
      </c>
      <c r="J41" s="39" t="s">
        <v>223</v>
      </c>
      <c r="K41" s="39" t="s">
        <v>224</v>
      </c>
      <c r="L41" s="39" t="s">
        <v>250</v>
      </c>
      <c r="M41" s="39" t="s">
        <v>251</v>
      </c>
      <c r="N41" s="39" t="s">
        <v>246</v>
      </c>
      <c r="O41" s="39" t="s">
        <v>247</v>
      </c>
      <c r="P41" s="41">
        <v>47150000</v>
      </c>
      <c r="Q41" s="41">
        <v>47150000</v>
      </c>
      <c r="R41" s="39">
        <v>13423</v>
      </c>
      <c r="S41" s="39" t="s">
        <v>63</v>
      </c>
      <c r="T41" s="39" t="s">
        <v>64</v>
      </c>
      <c r="U41" s="39" t="s">
        <v>65</v>
      </c>
      <c r="V41" s="39"/>
      <c r="W41" s="39" t="s">
        <v>252</v>
      </c>
      <c r="X41" s="39" t="s">
        <v>57</v>
      </c>
      <c r="Y41" s="40">
        <v>44950</v>
      </c>
      <c r="Z41" s="39" t="s">
        <v>67</v>
      </c>
      <c r="AA41" s="39"/>
      <c r="AB41" s="39" t="s">
        <v>68</v>
      </c>
      <c r="AC41" s="39" t="s">
        <v>69</v>
      </c>
      <c r="AD41" s="39" t="s">
        <v>253</v>
      </c>
      <c r="AE41" s="39">
        <v>79727331</v>
      </c>
      <c r="AF41" s="39"/>
      <c r="AG41" s="39"/>
      <c r="AH41" s="39"/>
      <c r="AI41" s="39"/>
      <c r="AJ41" s="39"/>
      <c r="AK41" s="39"/>
      <c r="AL41" s="44">
        <f ca="1">+YEAR(TODAY())-YEAR(Tabla13[[#This Row],[FECHA DE NACIMIENTO]])</f>
        <v>123</v>
      </c>
      <c r="AM41" s="39">
        <v>24823</v>
      </c>
      <c r="AN41" s="40">
        <v>44950</v>
      </c>
      <c r="AO41" s="41">
        <v>47150000</v>
      </c>
      <c r="AP41" s="39"/>
      <c r="AQ41" s="39"/>
      <c r="AR41" s="39"/>
      <c r="AS41" s="45">
        <v>47150000</v>
      </c>
      <c r="AT41" s="39" t="s">
        <v>230</v>
      </c>
      <c r="AU41" s="40">
        <v>44949</v>
      </c>
      <c r="AV41" s="46" t="s">
        <v>74</v>
      </c>
      <c r="AW41" s="40">
        <v>44950</v>
      </c>
      <c r="AX41" s="40">
        <v>45291</v>
      </c>
      <c r="AY41" s="38">
        <f t="shared" si="0"/>
        <v>341</v>
      </c>
      <c r="AZ41" s="39" t="s">
        <v>437</v>
      </c>
      <c r="BA41" s="39">
        <v>393757630</v>
      </c>
      <c r="BB41" s="41"/>
      <c r="BC41" s="43"/>
      <c r="BD41" s="39"/>
      <c r="BE41" s="39"/>
      <c r="BF41" s="39"/>
      <c r="BG41" s="43"/>
      <c r="BH41" s="39"/>
      <c r="BI41" s="43"/>
      <c r="BJ41" s="41">
        <f>(Tabla13[[#This Row],[VALOR TOTAL CONTRATO + VF]]+Tabla13[[#This Row],[ADICION 1 ]]+Tabla13[[#This Row],[ADICION 2]]-Tabla13[[#This Row],[LIBERACION]])</f>
        <v>47150000</v>
      </c>
      <c r="BK41" s="39"/>
      <c r="BL41" s="43"/>
      <c r="BM41" s="43"/>
      <c r="BN41" s="39"/>
      <c r="BO41" s="39"/>
      <c r="BP41" s="43"/>
      <c r="BQ41" s="39"/>
      <c r="BR41" s="41"/>
      <c r="BS41" s="43"/>
      <c r="BT41" s="39">
        <f t="shared" si="1"/>
        <v>341</v>
      </c>
      <c r="BU41" s="43"/>
      <c r="BV41" s="46"/>
    </row>
    <row r="42" spans="1:74" ht="15" customHeight="1" x14ac:dyDescent="0.25">
      <c r="A42" s="36" t="s">
        <v>459</v>
      </c>
      <c r="B42" s="37" t="s">
        <v>460</v>
      </c>
      <c r="C42" s="38" t="s">
        <v>54</v>
      </c>
      <c r="D42" s="39">
        <v>33</v>
      </c>
      <c r="E42" s="39" t="s">
        <v>344</v>
      </c>
      <c r="F42" s="39" t="s">
        <v>254</v>
      </c>
      <c r="G42" s="39" t="s">
        <v>284</v>
      </c>
      <c r="H42" s="39" t="s">
        <v>57</v>
      </c>
      <c r="I42" s="40">
        <v>44949</v>
      </c>
      <c r="J42" s="39" t="s">
        <v>223</v>
      </c>
      <c r="K42" s="39" t="s">
        <v>224</v>
      </c>
      <c r="L42" s="39" t="s">
        <v>250</v>
      </c>
      <c r="M42" s="39" t="s">
        <v>255</v>
      </c>
      <c r="N42" s="39" t="s">
        <v>256</v>
      </c>
      <c r="O42" s="39" t="s">
        <v>247</v>
      </c>
      <c r="P42" s="41">
        <v>77000000</v>
      </c>
      <c r="Q42" s="41">
        <v>77000000</v>
      </c>
      <c r="R42" s="39">
        <v>12523</v>
      </c>
      <c r="S42" s="39" t="s">
        <v>63</v>
      </c>
      <c r="T42" s="39" t="s">
        <v>64</v>
      </c>
      <c r="U42" s="39" t="s">
        <v>65</v>
      </c>
      <c r="V42" s="39"/>
      <c r="W42" s="39" t="s">
        <v>257</v>
      </c>
      <c r="X42" s="39" t="s">
        <v>57</v>
      </c>
      <c r="Y42" s="40">
        <v>44952</v>
      </c>
      <c r="Z42" s="39" t="s">
        <v>67</v>
      </c>
      <c r="AA42" s="39"/>
      <c r="AB42" s="39" t="s">
        <v>68</v>
      </c>
      <c r="AC42" s="39" t="s">
        <v>69</v>
      </c>
      <c r="AD42" s="39" t="s">
        <v>430</v>
      </c>
      <c r="AE42" s="39">
        <v>52515581</v>
      </c>
      <c r="AF42" s="39"/>
      <c r="AG42" s="39"/>
      <c r="AH42" s="39"/>
      <c r="AI42" s="39"/>
      <c r="AJ42" s="39"/>
      <c r="AK42" s="39"/>
      <c r="AL42" s="44">
        <f ca="1">+YEAR(TODAY())-YEAR(Tabla13[[#This Row],[FECHA DE NACIMIENTO]])</f>
        <v>123</v>
      </c>
      <c r="AM42" s="39">
        <v>24723</v>
      </c>
      <c r="AN42" s="40">
        <v>44950</v>
      </c>
      <c r="AO42" s="41">
        <v>77000000</v>
      </c>
      <c r="AP42" s="39"/>
      <c r="AQ42" s="39"/>
      <c r="AR42" s="39"/>
      <c r="AS42" s="45">
        <v>77000000</v>
      </c>
      <c r="AT42" s="39" t="s">
        <v>230</v>
      </c>
      <c r="AU42" s="40">
        <v>44950</v>
      </c>
      <c r="AV42" s="46" t="s">
        <v>74</v>
      </c>
      <c r="AW42" s="40">
        <v>44952</v>
      </c>
      <c r="AX42" s="40">
        <v>45283</v>
      </c>
      <c r="AY42" s="38">
        <f t="shared" si="0"/>
        <v>331</v>
      </c>
      <c r="AZ42" s="39" t="s">
        <v>437</v>
      </c>
      <c r="BA42" s="39">
        <v>393757630</v>
      </c>
      <c r="BB42" s="41"/>
      <c r="BC42" s="43"/>
      <c r="BD42" s="39"/>
      <c r="BE42" s="39"/>
      <c r="BF42" s="39"/>
      <c r="BG42" s="43"/>
      <c r="BH42" s="39"/>
      <c r="BI42" s="43"/>
      <c r="BJ42" s="41">
        <f>(Tabla13[[#This Row],[VALOR TOTAL CONTRATO + VF]]+Tabla13[[#This Row],[ADICION 1 ]]+Tabla13[[#This Row],[ADICION 2]]-Tabla13[[#This Row],[LIBERACION]])</f>
        <v>77000000</v>
      </c>
      <c r="BK42" s="39"/>
      <c r="BL42" s="43"/>
      <c r="BM42" s="43"/>
      <c r="BN42" s="39"/>
      <c r="BO42" s="39"/>
      <c r="BP42" s="43"/>
      <c r="BQ42" s="39"/>
      <c r="BR42" s="41"/>
      <c r="BS42" s="43"/>
      <c r="BT42" s="39">
        <f t="shared" si="1"/>
        <v>331</v>
      </c>
      <c r="BU42" s="43"/>
      <c r="BV42" s="46"/>
    </row>
    <row r="43" spans="1:74" ht="15.75" customHeight="1" x14ac:dyDescent="0.25">
      <c r="A43" s="36" t="s">
        <v>459</v>
      </c>
      <c r="B43" s="37" t="s">
        <v>460</v>
      </c>
      <c r="C43" s="38" t="s">
        <v>54</v>
      </c>
      <c r="D43" s="39">
        <v>51</v>
      </c>
      <c r="E43" s="39" t="s">
        <v>344</v>
      </c>
      <c r="F43" s="39" t="s">
        <v>240</v>
      </c>
      <c r="G43" s="39" t="s">
        <v>281</v>
      </c>
      <c r="H43" s="39" t="s">
        <v>57</v>
      </c>
      <c r="I43" s="40">
        <v>44950</v>
      </c>
      <c r="J43" s="39" t="s">
        <v>223</v>
      </c>
      <c r="K43" s="39" t="s">
        <v>224</v>
      </c>
      <c r="L43" s="39" t="s">
        <v>225</v>
      </c>
      <c r="M43" s="39" t="s">
        <v>241</v>
      </c>
      <c r="N43" s="39" t="s">
        <v>227</v>
      </c>
      <c r="O43" s="39" t="s">
        <v>228</v>
      </c>
      <c r="P43" s="41">
        <v>80500000</v>
      </c>
      <c r="Q43" s="41">
        <v>80500000</v>
      </c>
      <c r="R43" s="39">
        <v>12123</v>
      </c>
      <c r="S43" s="39" t="s">
        <v>89</v>
      </c>
      <c r="T43" s="39" t="s">
        <v>64</v>
      </c>
      <c r="U43" s="39" t="s">
        <v>65</v>
      </c>
      <c r="V43" s="39"/>
      <c r="W43" s="39" t="s">
        <v>242</v>
      </c>
      <c r="X43" s="39" t="s">
        <v>57</v>
      </c>
      <c r="Y43" s="40">
        <v>44951</v>
      </c>
      <c r="Z43" s="39" t="s">
        <v>67</v>
      </c>
      <c r="AA43" s="39"/>
      <c r="AB43" s="39" t="s">
        <v>68</v>
      </c>
      <c r="AC43" s="39" t="s">
        <v>69</v>
      </c>
      <c r="AD43" s="39" t="s">
        <v>428</v>
      </c>
      <c r="AE43" s="39">
        <v>72192898</v>
      </c>
      <c r="AF43" s="39"/>
      <c r="AG43" s="39"/>
      <c r="AH43" s="39"/>
      <c r="AI43" s="39"/>
      <c r="AJ43" s="39"/>
      <c r="AK43" s="39"/>
      <c r="AL43" s="44">
        <f ca="1">+YEAR(TODAY())-YEAR(Tabla13[[#This Row],[FECHA DE NACIMIENTO]])</f>
        <v>123</v>
      </c>
      <c r="AM43" s="39">
        <v>24623</v>
      </c>
      <c r="AN43" s="40">
        <v>44950</v>
      </c>
      <c r="AO43" s="41">
        <v>80500000</v>
      </c>
      <c r="AP43" s="39"/>
      <c r="AQ43" s="39"/>
      <c r="AR43" s="39"/>
      <c r="AS43" s="45">
        <v>80500000</v>
      </c>
      <c r="AT43" s="39" t="s">
        <v>230</v>
      </c>
      <c r="AU43" s="40">
        <v>44950</v>
      </c>
      <c r="AV43" s="46" t="s">
        <v>74</v>
      </c>
      <c r="AW43" s="40">
        <v>44951</v>
      </c>
      <c r="AX43" s="40">
        <v>45291</v>
      </c>
      <c r="AY43" s="38">
        <f t="shared" si="0"/>
        <v>340</v>
      </c>
      <c r="AZ43" s="39" t="s">
        <v>92</v>
      </c>
      <c r="BA43" s="39">
        <v>19498970</v>
      </c>
      <c r="BB43" s="41"/>
      <c r="BC43" s="43"/>
      <c r="BD43" s="39"/>
      <c r="BE43" s="39"/>
      <c r="BF43" s="39"/>
      <c r="BG43" s="43"/>
      <c r="BH43" s="39"/>
      <c r="BI43" s="43"/>
      <c r="BJ43" s="41">
        <f>(Tabla13[[#This Row],[VALOR TOTAL CONTRATO + VF]]+Tabla13[[#This Row],[ADICION 1 ]]+Tabla13[[#This Row],[ADICION 2]]-Tabla13[[#This Row],[LIBERACION]])</f>
        <v>80500000</v>
      </c>
      <c r="BK43" s="39"/>
      <c r="BL43" s="43"/>
      <c r="BM43" s="43"/>
      <c r="BN43" s="39"/>
      <c r="BO43" s="39"/>
      <c r="BP43" s="43"/>
      <c r="BQ43" s="39"/>
      <c r="BR43" s="41"/>
      <c r="BS43" s="43"/>
      <c r="BT43" s="39">
        <f t="shared" si="1"/>
        <v>340</v>
      </c>
      <c r="BU43" s="43"/>
      <c r="BV43" s="46"/>
    </row>
    <row r="44" spans="1:74" s="48" customFormat="1" ht="15.75" customHeight="1" x14ac:dyDescent="0.25">
      <c r="A44" s="36" t="s">
        <v>459</v>
      </c>
      <c r="B44" s="37" t="s">
        <v>460</v>
      </c>
      <c r="C44" s="38" t="s">
        <v>54</v>
      </c>
      <c r="D44" s="39">
        <v>251</v>
      </c>
      <c r="E44" s="39" t="s">
        <v>344</v>
      </c>
      <c r="F44" s="39" t="s">
        <v>258</v>
      </c>
      <c r="G44" s="39" t="s">
        <v>285</v>
      </c>
      <c r="H44" s="39" t="s">
        <v>57</v>
      </c>
      <c r="I44" s="40">
        <v>44950</v>
      </c>
      <c r="J44" s="39" t="s">
        <v>223</v>
      </c>
      <c r="K44" s="39" t="s">
        <v>224</v>
      </c>
      <c r="L44" s="39" t="s">
        <v>259</v>
      </c>
      <c r="M44" s="39" t="s">
        <v>260</v>
      </c>
      <c r="N44" s="39" t="s">
        <v>261</v>
      </c>
      <c r="O44" s="39" t="s">
        <v>262</v>
      </c>
      <c r="P44" s="41">
        <v>52500000</v>
      </c>
      <c r="Q44" s="41">
        <v>52500000</v>
      </c>
      <c r="R44" s="39">
        <v>14123</v>
      </c>
      <c r="S44" s="39" t="s">
        <v>63</v>
      </c>
      <c r="T44" s="39" t="s">
        <v>64</v>
      </c>
      <c r="U44" s="39" t="s">
        <v>65</v>
      </c>
      <c r="V44" s="39"/>
      <c r="W44" s="39" t="s">
        <v>263</v>
      </c>
      <c r="X44" s="39" t="s">
        <v>57</v>
      </c>
      <c r="Y44" s="40">
        <v>44952</v>
      </c>
      <c r="Z44" s="39" t="s">
        <v>67</v>
      </c>
      <c r="AA44" s="39"/>
      <c r="AB44" s="39" t="s">
        <v>68</v>
      </c>
      <c r="AC44" s="39" t="s">
        <v>69</v>
      </c>
      <c r="AD44" s="39" t="s">
        <v>264</v>
      </c>
      <c r="AE44" s="39">
        <v>1014207920</v>
      </c>
      <c r="AF44" s="39"/>
      <c r="AG44" s="39"/>
      <c r="AH44" s="39"/>
      <c r="AI44" s="39"/>
      <c r="AJ44" s="39"/>
      <c r="AK44" s="39"/>
      <c r="AL44" s="44">
        <f ca="1">+YEAR(TODAY())-YEAR(Tabla13[[#This Row],[FECHA DE NACIMIENTO]])</f>
        <v>123</v>
      </c>
      <c r="AM44" s="39">
        <v>27623</v>
      </c>
      <c r="AN44" s="40">
        <v>44952</v>
      </c>
      <c r="AO44" s="41">
        <v>52500000</v>
      </c>
      <c r="AP44" s="39"/>
      <c r="AQ44" s="39"/>
      <c r="AR44" s="39"/>
      <c r="AS44" s="45">
        <v>52500000</v>
      </c>
      <c r="AT44" s="39" t="s">
        <v>230</v>
      </c>
      <c r="AU44" s="40">
        <v>44951</v>
      </c>
      <c r="AV44" s="46" t="s">
        <v>74</v>
      </c>
      <c r="AW44" s="40">
        <v>44952</v>
      </c>
      <c r="AX44" s="40">
        <v>45164</v>
      </c>
      <c r="AY44" s="38">
        <f t="shared" si="0"/>
        <v>212</v>
      </c>
      <c r="AZ44" s="39" t="s">
        <v>438</v>
      </c>
      <c r="BA44" s="39">
        <v>51832657</v>
      </c>
      <c r="BB44" s="41"/>
      <c r="BC44" s="43"/>
      <c r="BD44" s="39"/>
      <c r="BE44" s="39"/>
      <c r="BF44" s="39"/>
      <c r="BG44" s="43"/>
      <c r="BH44" s="39"/>
      <c r="BI44" s="43"/>
      <c r="BJ44" s="41">
        <f>(Tabla13[[#This Row],[VALOR TOTAL CONTRATO + VF]]+Tabla13[[#This Row],[ADICION 1 ]]+Tabla13[[#This Row],[ADICION 2]]-Tabla13[[#This Row],[LIBERACION]])</f>
        <v>52500000</v>
      </c>
      <c r="BK44" s="39"/>
      <c r="BL44" s="43"/>
      <c r="BM44" s="43"/>
      <c r="BN44" s="39"/>
      <c r="BO44" s="39"/>
      <c r="BP44" s="43"/>
      <c r="BQ44" s="39"/>
      <c r="BR44" s="41"/>
      <c r="BS44" s="43"/>
      <c r="BT44" s="39">
        <f t="shared" si="1"/>
        <v>212</v>
      </c>
      <c r="BU44" s="43"/>
      <c r="BV44" s="46"/>
    </row>
    <row r="45" spans="1:74" ht="15" customHeight="1" x14ac:dyDescent="0.25">
      <c r="A45" s="36" t="s">
        <v>459</v>
      </c>
      <c r="B45" s="37" t="s">
        <v>460</v>
      </c>
      <c r="C45" s="38" t="s">
        <v>54</v>
      </c>
      <c r="D45" s="39">
        <v>200</v>
      </c>
      <c r="E45" s="39" t="s">
        <v>345</v>
      </c>
      <c r="F45" s="39" t="s">
        <v>323</v>
      </c>
      <c r="G45" s="39" t="s">
        <v>988</v>
      </c>
      <c r="H45" s="39" t="s">
        <v>57</v>
      </c>
      <c r="I45" s="40">
        <v>44950</v>
      </c>
      <c r="J45" s="39" t="s">
        <v>59</v>
      </c>
      <c r="K45" s="39" t="s">
        <v>290</v>
      </c>
      <c r="L45" s="39" t="s">
        <v>324</v>
      </c>
      <c r="M45" s="39" t="s">
        <v>325</v>
      </c>
      <c r="N45" s="39">
        <v>81111504</v>
      </c>
      <c r="O45" s="39" t="s">
        <v>326</v>
      </c>
      <c r="P45" s="41">
        <v>86250000</v>
      </c>
      <c r="Q45" s="41">
        <v>86250000</v>
      </c>
      <c r="R45" s="39">
        <v>12623</v>
      </c>
      <c r="S45" s="39" t="s">
        <v>294</v>
      </c>
      <c r="T45" s="39" t="s">
        <v>64</v>
      </c>
      <c r="U45" s="39" t="s">
        <v>65</v>
      </c>
      <c r="V45" s="39"/>
      <c r="W45" s="39" t="s">
        <v>446</v>
      </c>
      <c r="X45" s="39" t="s">
        <v>57</v>
      </c>
      <c r="Y45" s="40">
        <v>44952</v>
      </c>
      <c r="Z45" s="39" t="s">
        <v>67</v>
      </c>
      <c r="AA45" s="39"/>
      <c r="AB45" s="39" t="s">
        <v>295</v>
      </c>
      <c r="AC45" s="39" t="s">
        <v>69</v>
      </c>
      <c r="AD45" s="39" t="s">
        <v>327</v>
      </c>
      <c r="AE45" s="39">
        <v>80151371</v>
      </c>
      <c r="AF45" s="39"/>
      <c r="AG45" s="39"/>
      <c r="AH45" s="39"/>
      <c r="AI45" s="39"/>
      <c r="AJ45" s="39"/>
      <c r="AK45" s="39"/>
      <c r="AL45" s="44">
        <f ca="1">+YEAR(TODAY())-YEAR(Tabla13[[#This Row],[FECHA DE NACIMIENTO]])</f>
        <v>123</v>
      </c>
      <c r="AM45" s="39">
        <v>27323</v>
      </c>
      <c r="AN45" s="40">
        <v>44952</v>
      </c>
      <c r="AO45" s="45">
        <v>86250000</v>
      </c>
      <c r="AP45" s="39"/>
      <c r="AQ45" s="39"/>
      <c r="AR45" s="39"/>
      <c r="AS45" s="45">
        <v>86250000</v>
      </c>
      <c r="AT45" s="39" t="s">
        <v>297</v>
      </c>
      <c r="AU45" s="40">
        <v>44952</v>
      </c>
      <c r="AV45" s="46" t="s">
        <v>74</v>
      </c>
      <c r="AW45" s="40">
        <v>44952</v>
      </c>
      <c r="AX45" s="40">
        <v>45291</v>
      </c>
      <c r="AY45" s="38">
        <f t="shared" si="0"/>
        <v>339</v>
      </c>
      <c r="AZ45" s="39" t="s">
        <v>328</v>
      </c>
      <c r="BA45" s="39">
        <v>19498970</v>
      </c>
      <c r="BB45" s="41"/>
      <c r="BC45" s="43"/>
      <c r="BD45" s="39"/>
      <c r="BE45" s="39"/>
      <c r="BF45" s="39"/>
      <c r="BG45" s="43"/>
      <c r="BH45" s="39"/>
      <c r="BI45" s="43"/>
      <c r="BJ45" s="41">
        <f>(Tabla13[[#This Row],[VALOR TOTAL CONTRATO + VF]]+Tabla13[[#This Row],[ADICION 1 ]]+Tabla13[[#This Row],[ADICION 2]]-Tabla13[[#This Row],[LIBERACION]])</f>
        <v>86250000</v>
      </c>
      <c r="BK45" s="39"/>
      <c r="BL45" s="43"/>
      <c r="BM45" s="43"/>
      <c r="BN45" s="39"/>
      <c r="BO45" s="39"/>
      <c r="BP45" s="43"/>
      <c r="BQ45" s="39"/>
      <c r="BR45" s="41"/>
      <c r="BS45" s="43"/>
      <c r="BT45" s="39">
        <f t="shared" si="1"/>
        <v>339</v>
      </c>
      <c r="BU45" s="43"/>
      <c r="BV45" s="46"/>
    </row>
    <row r="46" spans="1:74" s="48" customFormat="1" ht="13.5" customHeight="1" x14ac:dyDescent="0.25">
      <c r="A46" s="36" t="s">
        <v>459</v>
      </c>
      <c r="B46" s="37" t="s">
        <v>460</v>
      </c>
      <c r="C46" s="38" t="s">
        <v>54</v>
      </c>
      <c r="D46" s="39">
        <v>4</v>
      </c>
      <c r="E46" s="39" t="s">
        <v>221</v>
      </c>
      <c r="F46" s="39" t="s">
        <v>143</v>
      </c>
      <c r="G46" s="39" t="s">
        <v>485</v>
      </c>
      <c r="H46" s="39" t="s">
        <v>57</v>
      </c>
      <c r="I46" s="40">
        <v>44951</v>
      </c>
      <c r="J46" s="39" t="s">
        <v>59</v>
      </c>
      <c r="K46" s="39" t="s">
        <v>60</v>
      </c>
      <c r="L46" s="39" t="s">
        <v>136</v>
      </c>
      <c r="M46" s="39" t="s">
        <v>144</v>
      </c>
      <c r="N46" s="39">
        <v>80161504</v>
      </c>
      <c r="O46" s="39" t="s">
        <v>138</v>
      </c>
      <c r="P46" s="41">
        <v>80000000</v>
      </c>
      <c r="Q46" s="41">
        <v>80000000</v>
      </c>
      <c r="R46" s="39">
        <v>14023</v>
      </c>
      <c r="S46" s="39" t="s">
        <v>63</v>
      </c>
      <c r="T46" s="39" t="s">
        <v>64</v>
      </c>
      <c r="U46" s="39" t="s">
        <v>65</v>
      </c>
      <c r="V46" s="39"/>
      <c r="W46" s="39" t="s">
        <v>145</v>
      </c>
      <c r="X46" s="39" t="s">
        <v>57</v>
      </c>
      <c r="Y46" s="40">
        <v>44952</v>
      </c>
      <c r="Z46" s="39" t="s">
        <v>67</v>
      </c>
      <c r="AA46" s="39"/>
      <c r="AB46" s="39" t="s">
        <v>68</v>
      </c>
      <c r="AC46" s="39" t="s">
        <v>69</v>
      </c>
      <c r="AD46" s="39" t="s">
        <v>146</v>
      </c>
      <c r="AE46" s="39">
        <v>79951390</v>
      </c>
      <c r="AF46" s="39" t="s">
        <v>141</v>
      </c>
      <c r="AG46" s="39" t="s">
        <v>603</v>
      </c>
      <c r="AH46" s="39" t="s">
        <v>551</v>
      </c>
      <c r="AI46" s="39" t="s">
        <v>467</v>
      </c>
      <c r="AJ46" s="42" t="s">
        <v>517</v>
      </c>
      <c r="AK46" s="43">
        <v>29014</v>
      </c>
      <c r="AL46" s="44">
        <f ca="1">+YEAR(TODAY())-YEAR(Tabla13[[#This Row],[FECHA DE NACIMIENTO]])</f>
        <v>44</v>
      </c>
      <c r="AM46" s="39">
        <v>27723</v>
      </c>
      <c r="AN46" s="40">
        <v>44952</v>
      </c>
      <c r="AO46" s="41">
        <v>80000000</v>
      </c>
      <c r="AP46" s="39"/>
      <c r="AQ46" s="39"/>
      <c r="AR46" s="39"/>
      <c r="AS46" s="45">
        <v>80000000</v>
      </c>
      <c r="AT46" s="39" t="s">
        <v>75</v>
      </c>
      <c r="AU46" s="40">
        <v>44953</v>
      </c>
      <c r="AV46" s="46" t="s">
        <v>74</v>
      </c>
      <c r="AW46" s="40">
        <v>44958</v>
      </c>
      <c r="AX46" s="40">
        <v>45200</v>
      </c>
      <c r="AY46" s="38">
        <f t="shared" si="0"/>
        <v>242</v>
      </c>
      <c r="AZ46" s="39" t="s">
        <v>147</v>
      </c>
      <c r="BA46" s="39">
        <v>52619262</v>
      </c>
      <c r="BB46" s="41"/>
      <c r="BC46" s="43"/>
      <c r="BD46" s="39"/>
      <c r="BE46" s="39"/>
      <c r="BF46" s="39"/>
      <c r="BG46" s="43"/>
      <c r="BH46" s="39"/>
      <c r="BI46" s="43"/>
      <c r="BJ46" s="41">
        <f>(Tabla13[[#This Row],[VALOR TOTAL CONTRATO + VF]]+Tabla13[[#This Row],[ADICION 1 ]]+Tabla13[[#This Row],[ADICION 2]]-Tabla13[[#This Row],[LIBERACION]])</f>
        <v>80000000</v>
      </c>
      <c r="BK46" s="39"/>
      <c r="BL46" s="43"/>
      <c r="BM46" s="43"/>
      <c r="BN46" s="39"/>
      <c r="BO46" s="39"/>
      <c r="BP46" s="43"/>
      <c r="BQ46" s="39"/>
      <c r="BR46" s="41"/>
      <c r="BS46" s="43"/>
      <c r="BT46" s="39">
        <f t="shared" si="1"/>
        <v>242</v>
      </c>
      <c r="BU46" s="43"/>
      <c r="BV46" s="46"/>
    </row>
    <row r="47" spans="1:74" ht="15" customHeight="1" x14ac:dyDescent="0.25">
      <c r="A47" s="36" t="s">
        <v>459</v>
      </c>
      <c r="B47" s="37" t="s">
        <v>460</v>
      </c>
      <c r="C47" s="38" t="s">
        <v>54</v>
      </c>
      <c r="D47" s="39">
        <v>8</v>
      </c>
      <c r="E47" s="39" t="s">
        <v>221</v>
      </c>
      <c r="F47" s="39" t="s">
        <v>157</v>
      </c>
      <c r="G47" s="39" t="s">
        <v>158</v>
      </c>
      <c r="H47" s="39" t="s">
        <v>57</v>
      </c>
      <c r="I47" s="40">
        <v>44951</v>
      </c>
      <c r="J47" s="39" t="s">
        <v>59</v>
      </c>
      <c r="K47" s="39" t="s">
        <v>60</v>
      </c>
      <c r="L47" s="39" t="s">
        <v>150</v>
      </c>
      <c r="M47" s="39" t="s">
        <v>159</v>
      </c>
      <c r="N47" s="39" t="s">
        <v>160</v>
      </c>
      <c r="O47" s="39" t="s">
        <v>161</v>
      </c>
      <c r="P47" s="41">
        <v>55000000</v>
      </c>
      <c r="Q47" s="41">
        <v>55000000</v>
      </c>
      <c r="R47" s="39">
        <v>13823</v>
      </c>
      <c r="S47" s="39" t="s">
        <v>153</v>
      </c>
      <c r="T47" s="39" t="s">
        <v>64</v>
      </c>
      <c r="U47" s="39" t="s">
        <v>65</v>
      </c>
      <c r="V47" s="39"/>
      <c r="W47" s="39" t="s">
        <v>162</v>
      </c>
      <c r="X47" s="39" t="s">
        <v>57</v>
      </c>
      <c r="Y47" s="40">
        <v>44956</v>
      </c>
      <c r="Z47" s="39" t="s">
        <v>67</v>
      </c>
      <c r="AA47" s="39"/>
      <c r="AB47" s="39" t="s">
        <v>68</v>
      </c>
      <c r="AC47" s="39" t="s">
        <v>69</v>
      </c>
      <c r="AD47" s="39" t="s">
        <v>163</v>
      </c>
      <c r="AE47" s="39">
        <v>1016072632</v>
      </c>
      <c r="AF47" s="39" t="s">
        <v>141</v>
      </c>
      <c r="AG47" s="39" t="s">
        <v>604</v>
      </c>
      <c r="AH47" s="39" t="s">
        <v>551</v>
      </c>
      <c r="AI47" s="39" t="s">
        <v>467</v>
      </c>
      <c r="AJ47" s="42" t="s">
        <v>517</v>
      </c>
      <c r="AK47" s="43">
        <v>34693</v>
      </c>
      <c r="AL47" s="44">
        <f ca="1">+YEAR(TODAY())-YEAR(Tabla13[[#This Row],[FECHA DE NACIMIENTO]])</f>
        <v>29</v>
      </c>
      <c r="AM47" s="39">
        <v>31123</v>
      </c>
      <c r="AN47" s="40">
        <v>44957</v>
      </c>
      <c r="AO47" s="41">
        <v>55000000</v>
      </c>
      <c r="AP47" s="39"/>
      <c r="AQ47" s="39"/>
      <c r="AR47" s="39"/>
      <c r="AS47" s="45">
        <v>55000000</v>
      </c>
      <c r="AT47" s="39" t="s">
        <v>75</v>
      </c>
      <c r="AU47" s="40">
        <v>44956</v>
      </c>
      <c r="AV47" s="46" t="s">
        <v>74</v>
      </c>
      <c r="AW47" s="40">
        <v>44958</v>
      </c>
      <c r="AX47" s="40">
        <v>45291</v>
      </c>
      <c r="AY47" s="38">
        <f t="shared" si="0"/>
        <v>333</v>
      </c>
      <c r="AZ47" s="39" t="s">
        <v>156</v>
      </c>
      <c r="BA47" s="39">
        <v>79276876</v>
      </c>
      <c r="BB47" s="41"/>
      <c r="BC47" s="43"/>
      <c r="BD47" s="39"/>
      <c r="BE47" s="39"/>
      <c r="BF47" s="39"/>
      <c r="BG47" s="43"/>
      <c r="BH47" s="39"/>
      <c r="BI47" s="43"/>
      <c r="BJ47" s="41">
        <f>(Tabla13[[#This Row],[VALOR TOTAL CONTRATO + VF]]+Tabla13[[#This Row],[ADICION 1 ]]+Tabla13[[#This Row],[ADICION 2]]-Tabla13[[#This Row],[LIBERACION]])</f>
        <v>55000000</v>
      </c>
      <c r="BK47" s="39"/>
      <c r="BL47" s="43"/>
      <c r="BM47" s="43"/>
      <c r="BN47" s="39"/>
      <c r="BO47" s="39"/>
      <c r="BP47" s="43"/>
      <c r="BQ47" s="39"/>
      <c r="BR47" s="41"/>
      <c r="BS47" s="43"/>
      <c r="BT47" s="39">
        <f t="shared" si="1"/>
        <v>333</v>
      </c>
      <c r="BU47" s="43"/>
      <c r="BV47" s="46"/>
    </row>
    <row r="48" spans="1:74" ht="15" customHeight="1" x14ac:dyDescent="0.25">
      <c r="A48" s="36" t="s">
        <v>459</v>
      </c>
      <c r="B48" s="37" t="s">
        <v>460</v>
      </c>
      <c r="C48" s="38" t="s">
        <v>54</v>
      </c>
      <c r="D48" s="42">
        <v>232</v>
      </c>
      <c r="E48" s="42" t="s">
        <v>345</v>
      </c>
      <c r="F48" s="42" t="s">
        <v>329</v>
      </c>
      <c r="G48" s="42" t="s">
        <v>989</v>
      </c>
      <c r="H48" s="42" t="s">
        <v>57</v>
      </c>
      <c r="I48" s="49">
        <v>44952</v>
      </c>
      <c r="J48" s="42" t="s">
        <v>59</v>
      </c>
      <c r="K48" s="42" t="s">
        <v>330</v>
      </c>
      <c r="L48" s="42" t="s">
        <v>313</v>
      </c>
      <c r="M48" s="42" t="s">
        <v>331</v>
      </c>
      <c r="N48" s="42">
        <v>73152100</v>
      </c>
      <c r="O48" s="42" t="s">
        <v>332</v>
      </c>
      <c r="P48" s="50">
        <v>16275000</v>
      </c>
      <c r="Q48" s="50">
        <v>16275000</v>
      </c>
      <c r="R48" s="42">
        <v>13023</v>
      </c>
      <c r="S48" s="42" t="s">
        <v>89</v>
      </c>
      <c r="T48" s="42" t="s">
        <v>133</v>
      </c>
      <c r="U48" s="42" t="s">
        <v>132</v>
      </c>
      <c r="V48" s="51">
        <v>342</v>
      </c>
      <c r="W48" s="42"/>
      <c r="X48" s="42"/>
      <c r="Y48" s="49"/>
      <c r="Z48" s="42"/>
      <c r="AA48" s="42"/>
      <c r="AB48" s="42"/>
      <c r="AC48" s="42"/>
      <c r="AD48" s="42"/>
      <c r="AE48" s="42"/>
      <c r="AF48" s="42"/>
      <c r="AG48" s="42"/>
      <c r="AH48" s="42"/>
      <c r="AI48" s="42"/>
      <c r="AJ48" s="39"/>
      <c r="AK48" s="42"/>
      <c r="AL48" s="52">
        <f ca="1">+YEAR(TODAY())-YEAR(Tabla13[[#This Row],[FECHA DE NACIMIENTO]])</f>
        <v>123</v>
      </c>
      <c r="AM48" s="42"/>
      <c r="AN48" s="49"/>
      <c r="AO48" s="50"/>
      <c r="AP48" s="42"/>
      <c r="AQ48" s="42"/>
      <c r="AR48" s="42"/>
      <c r="AS48" s="53"/>
      <c r="AT48" s="42"/>
      <c r="AU48" s="49"/>
      <c r="AV48" s="54"/>
      <c r="AW48" s="49"/>
      <c r="AX48" s="49"/>
      <c r="AY48" s="37">
        <f t="shared" si="0"/>
        <v>0</v>
      </c>
      <c r="AZ48" s="42"/>
      <c r="BA48" s="42"/>
      <c r="BB48" s="50"/>
      <c r="BC48" s="55"/>
      <c r="BD48" s="42"/>
      <c r="BE48" s="42"/>
      <c r="BF48" s="42"/>
      <c r="BG48" s="55"/>
      <c r="BH48" s="42"/>
      <c r="BI48" s="55"/>
      <c r="BJ48" s="50">
        <f>(Tabla13[[#This Row],[VALOR TOTAL CONTRATO + VF]]+Tabla13[[#This Row],[ADICION 1 ]]+Tabla13[[#This Row],[ADICION 2]]-Tabla13[[#This Row],[LIBERACION]])</f>
        <v>0</v>
      </c>
      <c r="BK48" s="42"/>
      <c r="BL48" s="55"/>
      <c r="BM48" s="55"/>
      <c r="BN48" s="42"/>
      <c r="BO48" s="42"/>
      <c r="BP48" s="55"/>
      <c r="BQ48" s="42"/>
      <c r="BR48" s="50"/>
      <c r="BS48" s="55"/>
      <c r="BT48" s="39"/>
      <c r="BU48" s="55"/>
      <c r="BV48" s="54"/>
    </row>
    <row r="49" spans="1:74" ht="15" customHeight="1" x14ac:dyDescent="0.25">
      <c r="A49" s="36" t="s">
        <v>459</v>
      </c>
      <c r="B49" s="37" t="s">
        <v>460</v>
      </c>
      <c r="C49" s="38" t="s">
        <v>54</v>
      </c>
      <c r="D49" s="39">
        <v>11</v>
      </c>
      <c r="E49" s="39" t="s">
        <v>409</v>
      </c>
      <c r="F49" s="39" t="s">
        <v>382</v>
      </c>
      <c r="G49" s="39" t="s">
        <v>383</v>
      </c>
      <c r="H49" s="39" t="s">
        <v>57</v>
      </c>
      <c r="I49" s="40">
        <v>44953</v>
      </c>
      <c r="J49" s="39" t="s">
        <v>59</v>
      </c>
      <c r="K49" s="39" t="s">
        <v>60</v>
      </c>
      <c r="L49" s="39" t="s">
        <v>150</v>
      </c>
      <c r="M49" s="39" t="s">
        <v>384</v>
      </c>
      <c r="N49" s="39" t="s">
        <v>385</v>
      </c>
      <c r="O49" s="39" t="s">
        <v>732</v>
      </c>
      <c r="P49" s="41">
        <v>55000000</v>
      </c>
      <c r="Q49" s="41">
        <v>55000000</v>
      </c>
      <c r="R49" s="39">
        <v>15723</v>
      </c>
      <c r="S49" s="39" t="s">
        <v>349</v>
      </c>
      <c r="T49" s="39" t="s">
        <v>64</v>
      </c>
      <c r="U49" s="39" t="s">
        <v>65</v>
      </c>
      <c r="V49" s="39"/>
      <c r="W49" s="39" t="s">
        <v>386</v>
      </c>
      <c r="X49" s="39" t="s">
        <v>57</v>
      </c>
      <c r="Y49" s="40">
        <v>44957</v>
      </c>
      <c r="Z49" s="39" t="s">
        <v>67</v>
      </c>
      <c r="AA49" s="39"/>
      <c r="AB49" s="39" t="s">
        <v>68</v>
      </c>
      <c r="AC49" s="39" t="s">
        <v>69</v>
      </c>
      <c r="AD49" s="39" t="s">
        <v>387</v>
      </c>
      <c r="AE49" s="39">
        <v>1082992710</v>
      </c>
      <c r="AF49" s="39"/>
      <c r="AG49" s="39" t="s">
        <v>626</v>
      </c>
      <c r="AH49" s="39" t="s">
        <v>551</v>
      </c>
      <c r="AI49" s="39"/>
      <c r="AJ49" s="39"/>
      <c r="AK49" s="39">
        <v>34658</v>
      </c>
      <c r="AL49" s="44" t="e">
        <f ca="1">+YEAR(TODAY())-YEAR([1]!Tabla1[[#This Row],[FECHA DE NACIMIENTO]])</f>
        <v>#REF!</v>
      </c>
      <c r="AM49" s="39">
        <v>30923</v>
      </c>
      <c r="AN49" s="40">
        <v>44957</v>
      </c>
      <c r="AO49" s="41">
        <v>55000000</v>
      </c>
      <c r="AP49" s="39"/>
      <c r="AQ49" s="39"/>
      <c r="AR49" s="39"/>
      <c r="AS49" s="45">
        <f>SUM(AO49+AP49+AQ49+AR49)</f>
        <v>55000000</v>
      </c>
      <c r="AT49" s="39" t="s">
        <v>75</v>
      </c>
      <c r="AU49" s="40">
        <v>44945</v>
      </c>
      <c r="AV49" s="46" t="s">
        <v>74</v>
      </c>
      <c r="AW49" s="40">
        <v>44956</v>
      </c>
      <c r="AX49" s="40">
        <v>45291</v>
      </c>
      <c r="AY49" s="38">
        <f t="shared" si="0"/>
        <v>335</v>
      </c>
      <c r="AZ49" s="39" t="s">
        <v>439</v>
      </c>
      <c r="BA49" s="39">
        <v>80791769</v>
      </c>
      <c r="BB49" s="41"/>
      <c r="BC49" s="43"/>
      <c r="BD49" s="39"/>
      <c r="BE49" s="39"/>
      <c r="BF49" s="39"/>
      <c r="BG49" s="43"/>
      <c r="BH49" s="39"/>
      <c r="BI49" s="43"/>
      <c r="BJ49" s="41" t="e">
        <f>([1]!Tabla1[[#This Row],[VALOR TOTAL CONTRATO + VF]]+[1]!Tabla1[[#This Row],[ADICION 1 ]]+[1]!Tabla1[[#This Row],[ADICION 2]]-[1]!Tabla1[[#This Row],[LIBERACION]])</f>
        <v>#REF!</v>
      </c>
      <c r="BK49" s="39"/>
      <c r="BL49" s="43"/>
      <c r="BM49" s="43"/>
      <c r="BN49" s="39"/>
      <c r="BO49" s="39"/>
      <c r="BP49" s="43"/>
      <c r="BQ49" s="39"/>
      <c r="BR49" s="41"/>
      <c r="BS49" s="43"/>
      <c r="BT49" s="39">
        <f>SUM(AY49+BK49+BN49+BQ49)</f>
        <v>335</v>
      </c>
      <c r="BU49" s="43"/>
      <c r="BV49" s="46"/>
    </row>
    <row r="50" spans="1:74" ht="15" customHeight="1" x14ac:dyDescent="0.25">
      <c r="A50" s="36" t="s">
        <v>459</v>
      </c>
      <c r="B50" s="37" t="s">
        <v>460</v>
      </c>
      <c r="C50" s="38" t="s">
        <v>54</v>
      </c>
      <c r="D50" s="39">
        <v>3</v>
      </c>
      <c r="E50" s="39" t="s">
        <v>409</v>
      </c>
      <c r="F50" s="39" t="s">
        <v>395</v>
      </c>
      <c r="G50" s="39" t="s">
        <v>396</v>
      </c>
      <c r="H50" s="39" t="s">
        <v>57</v>
      </c>
      <c r="I50" s="40">
        <v>44953</v>
      </c>
      <c r="J50" s="39" t="s">
        <v>59</v>
      </c>
      <c r="K50" s="39" t="s">
        <v>60</v>
      </c>
      <c r="L50" s="39" t="s">
        <v>136</v>
      </c>
      <c r="M50" s="39" t="s">
        <v>397</v>
      </c>
      <c r="N50" s="39">
        <v>80111600</v>
      </c>
      <c r="O50" s="39" t="s">
        <v>138</v>
      </c>
      <c r="P50" s="41">
        <v>46000000</v>
      </c>
      <c r="Q50" s="41">
        <v>44000000</v>
      </c>
      <c r="R50" s="39">
        <v>18823</v>
      </c>
      <c r="S50" s="39" t="s">
        <v>63</v>
      </c>
      <c r="T50" s="39" t="s">
        <v>64</v>
      </c>
      <c r="U50" s="39" t="s">
        <v>65</v>
      </c>
      <c r="V50" s="39"/>
      <c r="W50" s="39" t="s">
        <v>749</v>
      </c>
      <c r="X50" s="39" t="s">
        <v>57</v>
      </c>
      <c r="Y50" s="40">
        <v>44957</v>
      </c>
      <c r="Z50" s="39" t="s">
        <v>67</v>
      </c>
      <c r="AA50" s="39"/>
      <c r="AB50" s="39" t="s">
        <v>68</v>
      </c>
      <c r="AC50" s="39" t="s">
        <v>69</v>
      </c>
      <c r="AD50" s="39" t="s">
        <v>750</v>
      </c>
      <c r="AE50" s="39">
        <v>1026593280</v>
      </c>
      <c r="AF50" s="39"/>
      <c r="AG50" s="39" t="s">
        <v>751</v>
      </c>
      <c r="AH50" s="39" t="s">
        <v>551</v>
      </c>
      <c r="AI50" s="39"/>
      <c r="AJ50" s="39"/>
      <c r="AK50" s="39">
        <v>35801</v>
      </c>
      <c r="AL50" s="44" t="e">
        <f ca="1">+YEAR(TODAY())-YEAR([1]!Tabla1[[#This Row],[FECHA DE NACIMIENTO]])</f>
        <v>#REF!</v>
      </c>
      <c r="AM50" s="39">
        <v>30823</v>
      </c>
      <c r="AN50" s="40">
        <v>44957</v>
      </c>
      <c r="AO50" s="41">
        <v>44000000</v>
      </c>
      <c r="AP50" s="39"/>
      <c r="AQ50" s="39"/>
      <c r="AR50" s="39"/>
      <c r="AS50" s="45">
        <f>SUM(AO50+AP50+AQ50+AR50)</f>
        <v>44000000</v>
      </c>
      <c r="AT50" s="39" t="s">
        <v>75</v>
      </c>
      <c r="AU50" s="40">
        <v>44956</v>
      </c>
      <c r="AV50" s="46" t="s">
        <v>74</v>
      </c>
      <c r="AW50" s="40">
        <v>44958</v>
      </c>
      <c r="AX50" s="40">
        <v>45291</v>
      </c>
      <c r="AY50" s="38">
        <f t="shared" si="0"/>
        <v>333</v>
      </c>
      <c r="AZ50" s="39" t="s">
        <v>752</v>
      </c>
      <c r="BA50" s="39">
        <v>1144031972</v>
      </c>
      <c r="BB50" s="41"/>
      <c r="BC50" s="43"/>
      <c r="BD50" s="39"/>
      <c r="BE50" s="39"/>
      <c r="BF50" s="39"/>
      <c r="BG50" s="43"/>
      <c r="BH50" s="39"/>
      <c r="BI50" s="43"/>
      <c r="BJ50" s="41" t="e">
        <f>([1]!Tabla1[[#This Row],[VALOR TOTAL CONTRATO + VF]]+[1]!Tabla1[[#This Row],[ADICION 1 ]]+[1]!Tabla1[[#This Row],[ADICION 2]]-[1]!Tabla1[[#This Row],[LIBERACION]])</f>
        <v>#REF!</v>
      </c>
      <c r="BK50" s="39"/>
      <c r="BL50" s="43"/>
      <c r="BM50" s="43"/>
      <c r="BN50" s="39"/>
      <c r="BO50" s="39"/>
      <c r="BP50" s="43"/>
      <c r="BQ50" s="39"/>
      <c r="BR50" s="41"/>
      <c r="BS50" s="43"/>
      <c r="BT50" s="39">
        <f>SUM(AY50+BK50+BN50+BQ50)</f>
        <v>333</v>
      </c>
      <c r="BU50" s="43"/>
      <c r="BV50" s="46"/>
    </row>
    <row r="51" spans="1:74" ht="15" customHeight="1" x14ac:dyDescent="0.25">
      <c r="A51" s="36" t="s">
        <v>459</v>
      </c>
      <c r="B51" s="37" t="s">
        <v>460</v>
      </c>
      <c r="C51" s="38" t="s">
        <v>54</v>
      </c>
      <c r="D51" s="39">
        <v>24</v>
      </c>
      <c r="E51" s="39" t="s">
        <v>344</v>
      </c>
      <c r="F51" s="39" t="s">
        <v>265</v>
      </c>
      <c r="G51" s="39" t="s">
        <v>286</v>
      </c>
      <c r="H51" s="39" t="s">
        <v>57</v>
      </c>
      <c r="I51" s="40">
        <v>44953</v>
      </c>
      <c r="J51" s="39" t="s">
        <v>223</v>
      </c>
      <c r="K51" s="39" t="s">
        <v>483</v>
      </c>
      <c r="L51" s="39" t="s">
        <v>244</v>
      </c>
      <c r="M51" s="39" t="s">
        <v>266</v>
      </c>
      <c r="N51" s="39" t="s">
        <v>246</v>
      </c>
      <c r="O51" s="39" t="s">
        <v>247</v>
      </c>
      <c r="P51" s="41">
        <v>30800000</v>
      </c>
      <c r="Q51" s="41">
        <v>30800000</v>
      </c>
      <c r="R51" s="39">
        <v>15523</v>
      </c>
      <c r="S51" s="39" t="s">
        <v>63</v>
      </c>
      <c r="T51" s="39" t="s">
        <v>64</v>
      </c>
      <c r="U51" s="39" t="s">
        <v>65</v>
      </c>
      <c r="V51" s="39"/>
      <c r="W51" s="39" t="s">
        <v>267</v>
      </c>
      <c r="X51" s="39" t="s">
        <v>57</v>
      </c>
      <c r="Y51" s="40">
        <v>44957</v>
      </c>
      <c r="Z51" s="39" t="s">
        <v>117</v>
      </c>
      <c r="AA51" s="39"/>
      <c r="AB51" s="39" t="s">
        <v>68</v>
      </c>
      <c r="AC51" s="39" t="s">
        <v>69</v>
      </c>
      <c r="AD51" s="39" t="s">
        <v>268</v>
      </c>
      <c r="AE51" s="39">
        <v>51977370</v>
      </c>
      <c r="AF51" s="39"/>
      <c r="AG51" s="39"/>
      <c r="AH51" s="39"/>
      <c r="AI51" s="39"/>
      <c r="AJ51" s="39"/>
      <c r="AK51" s="39"/>
      <c r="AL51" s="44">
        <f ca="1">+YEAR(TODAY())-YEAR(Tabla13[[#This Row],[FECHA DE NACIMIENTO]])</f>
        <v>123</v>
      </c>
      <c r="AM51" s="39">
        <v>30523</v>
      </c>
      <c r="AN51" s="40">
        <v>44956</v>
      </c>
      <c r="AO51" s="41">
        <v>30800000</v>
      </c>
      <c r="AP51" s="39"/>
      <c r="AQ51" s="39"/>
      <c r="AR51" s="39"/>
      <c r="AS51" s="45">
        <v>30800000</v>
      </c>
      <c r="AT51" s="39" t="s">
        <v>230</v>
      </c>
      <c r="AU51" s="40">
        <v>44956</v>
      </c>
      <c r="AV51" s="46" t="s">
        <v>74</v>
      </c>
      <c r="AW51" s="40">
        <v>44957</v>
      </c>
      <c r="AX51" s="40">
        <v>45291</v>
      </c>
      <c r="AY51" s="38">
        <f t="shared" si="0"/>
        <v>334</v>
      </c>
      <c r="AZ51" s="39" t="s">
        <v>172</v>
      </c>
      <c r="BA51" s="39">
        <v>79279880</v>
      </c>
      <c r="BB51" s="41"/>
      <c r="BC51" s="43"/>
      <c r="BD51" s="39"/>
      <c r="BE51" s="39"/>
      <c r="BF51" s="39"/>
      <c r="BG51" s="43"/>
      <c r="BH51" s="39"/>
      <c r="BI51" s="43"/>
      <c r="BJ51" s="41">
        <f>(Tabla13[[#This Row],[VALOR TOTAL CONTRATO + VF]]+Tabla13[[#This Row],[ADICION 1 ]]+Tabla13[[#This Row],[ADICION 2]]-Tabla13[[#This Row],[LIBERACION]])</f>
        <v>30800000</v>
      </c>
      <c r="BK51" s="39"/>
      <c r="BL51" s="43"/>
      <c r="BM51" s="43"/>
      <c r="BN51" s="39"/>
      <c r="BO51" s="39"/>
      <c r="BP51" s="43"/>
      <c r="BQ51" s="39"/>
      <c r="BR51" s="41"/>
      <c r="BS51" s="43"/>
      <c r="BT51" s="39">
        <f>SUM(AY51+BK51+BN51+BQ51)</f>
        <v>334</v>
      </c>
      <c r="BU51" s="43"/>
      <c r="BV51" s="46"/>
    </row>
    <row r="52" spans="1:74" ht="15" customHeight="1" x14ac:dyDescent="0.25">
      <c r="A52" s="36" t="s">
        <v>459</v>
      </c>
      <c r="B52" s="37" t="s">
        <v>460</v>
      </c>
      <c r="C52" s="38" t="s">
        <v>54</v>
      </c>
      <c r="D52" s="39">
        <v>237</v>
      </c>
      <c r="E52" s="39" t="s">
        <v>345</v>
      </c>
      <c r="F52" s="39" t="s">
        <v>333</v>
      </c>
      <c r="G52" s="39" t="s">
        <v>990</v>
      </c>
      <c r="H52" s="39" t="s">
        <v>57</v>
      </c>
      <c r="I52" s="40">
        <v>44953</v>
      </c>
      <c r="J52" s="39" t="s">
        <v>59</v>
      </c>
      <c r="K52" s="39" t="s">
        <v>290</v>
      </c>
      <c r="L52" s="39" t="s">
        <v>334</v>
      </c>
      <c r="M52" s="39" t="s">
        <v>335</v>
      </c>
      <c r="N52" s="39">
        <v>80111600</v>
      </c>
      <c r="O52" s="39" t="s">
        <v>336</v>
      </c>
      <c r="P52" s="41">
        <v>77000000</v>
      </c>
      <c r="Q52" s="41">
        <v>77000000</v>
      </c>
      <c r="R52" s="39">
        <v>18923</v>
      </c>
      <c r="S52" s="39" t="s">
        <v>63</v>
      </c>
      <c r="T52" s="39" t="s">
        <v>64</v>
      </c>
      <c r="U52" s="39" t="s">
        <v>65</v>
      </c>
      <c r="V52" s="39"/>
      <c r="W52" s="39" t="s">
        <v>447</v>
      </c>
      <c r="X52" s="39" t="s">
        <v>57</v>
      </c>
      <c r="Y52" s="40">
        <v>44956</v>
      </c>
      <c r="Z52" s="39" t="s">
        <v>67</v>
      </c>
      <c r="AA52" s="39"/>
      <c r="AB52" s="39" t="s">
        <v>295</v>
      </c>
      <c r="AC52" s="39" t="s">
        <v>69</v>
      </c>
      <c r="AD52" s="39" t="s">
        <v>337</v>
      </c>
      <c r="AE52" s="39">
        <v>1121918009</v>
      </c>
      <c r="AF52" s="39"/>
      <c r="AG52" s="39"/>
      <c r="AH52" s="39"/>
      <c r="AI52" s="39"/>
      <c r="AJ52" s="39"/>
      <c r="AK52" s="39"/>
      <c r="AL52" s="44">
        <f ca="1">+YEAR(TODAY())-YEAR(Tabla13[[#This Row],[FECHA DE NACIMIENTO]])</f>
        <v>123</v>
      </c>
      <c r="AM52" s="39">
        <v>30023</v>
      </c>
      <c r="AN52" s="40">
        <v>44956</v>
      </c>
      <c r="AO52" s="45">
        <v>77000000</v>
      </c>
      <c r="AP52" s="39"/>
      <c r="AQ52" s="39"/>
      <c r="AR52" s="39"/>
      <c r="AS52" s="45">
        <v>77000000</v>
      </c>
      <c r="AT52" s="39" t="s">
        <v>297</v>
      </c>
      <c r="AU52" s="40">
        <v>44956</v>
      </c>
      <c r="AV52" s="46" t="s">
        <v>74</v>
      </c>
      <c r="AW52" s="40">
        <v>44958</v>
      </c>
      <c r="AX52" s="40">
        <v>45291</v>
      </c>
      <c r="AY52" s="38">
        <f t="shared" si="0"/>
        <v>333</v>
      </c>
      <c r="AZ52" s="39" t="s">
        <v>338</v>
      </c>
      <c r="BA52" s="39">
        <v>1010181437</v>
      </c>
      <c r="BB52" s="41"/>
      <c r="BC52" s="43"/>
      <c r="BD52" s="39"/>
      <c r="BE52" s="39"/>
      <c r="BF52" s="39"/>
      <c r="BG52" s="43"/>
      <c r="BH52" s="39"/>
      <c r="BI52" s="43"/>
      <c r="BJ52" s="41">
        <f>(Tabla13[[#This Row],[VALOR TOTAL CONTRATO + VF]]+Tabla13[[#This Row],[ADICION 1 ]]+Tabla13[[#This Row],[ADICION 2]]-Tabla13[[#This Row],[LIBERACION]])</f>
        <v>77000000</v>
      </c>
      <c r="BK52" s="39"/>
      <c r="BL52" s="43"/>
      <c r="BM52" s="43"/>
      <c r="BN52" s="39"/>
      <c r="BO52" s="39"/>
      <c r="BP52" s="43"/>
      <c r="BQ52" s="39"/>
      <c r="BR52" s="41"/>
      <c r="BS52" s="43"/>
      <c r="BT52" s="39">
        <f>SUM(AY52+BK52+BN52+BQ52)</f>
        <v>333</v>
      </c>
      <c r="BU52" s="43"/>
      <c r="BV52" s="46"/>
    </row>
    <row r="53" spans="1:74" ht="15" customHeight="1" x14ac:dyDescent="0.25">
      <c r="A53" s="36" t="s">
        <v>459</v>
      </c>
      <c r="B53" s="37" t="s">
        <v>460</v>
      </c>
      <c r="C53" s="38" t="s">
        <v>54</v>
      </c>
      <c r="D53" s="39">
        <v>25</v>
      </c>
      <c r="E53" s="39" t="s">
        <v>409</v>
      </c>
      <c r="F53" s="39" t="s">
        <v>403</v>
      </c>
      <c r="G53" s="39" t="s">
        <v>404</v>
      </c>
      <c r="H53" s="39" t="s">
        <v>57</v>
      </c>
      <c r="I53" s="40">
        <v>44956</v>
      </c>
      <c r="J53" s="39" t="s">
        <v>59</v>
      </c>
      <c r="K53" s="39" t="s">
        <v>60</v>
      </c>
      <c r="L53" s="39" t="s">
        <v>371</v>
      </c>
      <c r="M53" s="39" t="s">
        <v>405</v>
      </c>
      <c r="N53" s="39" t="s">
        <v>406</v>
      </c>
      <c r="O53" s="39" t="s">
        <v>756</v>
      </c>
      <c r="P53" s="41">
        <v>6000000</v>
      </c>
      <c r="Q53" s="41">
        <v>6000000</v>
      </c>
      <c r="R53" s="39">
        <v>15623</v>
      </c>
      <c r="S53" s="39" t="s">
        <v>63</v>
      </c>
      <c r="T53" s="39" t="s">
        <v>64</v>
      </c>
      <c r="U53" s="39" t="s">
        <v>65</v>
      </c>
      <c r="V53" s="39"/>
      <c r="W53" s="39" t="s">
        <v>757</v>
      </c>
      <c r="X53" s="39" t="s">
        <v>742</v>
      </c>
      <c r="Y53" s="40">
        <v>44981</v>
      </c>
      <c r="Z53" s="39" t="s">
        <v>615</v>
      </c>
      <c r="AA53" s="39"/>
      <c r="AB53" s="39" t="s">
        <v>68</v>
      </c>
      <c r="AC53" s="39" t="s">
        <v>69</v>
      </c>
      <c r="AD53" s="39" t="s">
        <v>758</v>
      </c>
      <c r="AE53" s="39" t="s">
        <v>759</v>
      </c>
      <c r="AF53" s="39">
        <v>1</v>
      </c>
      <c r="AG53" s="39" t="s">
        <v>517</v>
      </c>
      <c r="AH53" s="39" t="s">
        <v>551</v>
      </c>
      <c r="AI53" s="39"/>
      <c r="AJ53" s="39"/>
      <c r="AK53" s="39"/>
      <c r="AL53" s="44" t="e">
        <f ca="1">+YEAR(TODAY())-YEAR([1]!Tabla1[[#This Row],[FECHA DE NACIMIENTO]])</f>
        <v>#REF!</v>
      </c>
      <c r="AM53" s="39">
        <v>42623</v>
      </c>
      <c r="AN53" s="40">
        <v>44981</v>
      </c>
      <c r="AO53" s="41">
        <v>6000000</v>
      </c>
      <c r="AP53" s="39"/>
      <c r="AQ53" s="39"/>
      <c r="AR53" s="39"/>
      <c r="AS53" s="45">
        <f>SUM(AO53+AP53+AQ53+AR53)</f>
        <v>6000000</v>
      </c>
      <c r="AT53" s="39" t="s">
        <v>551</v>
      </c>
      <c r="AU53" s="40" t="s">
        <v>517</v>
      </c>
      <c r="AV53" s="46" t="s">
        <v>517</v>
      </c>
      <c r="AW53" s="40">
        <v>44981</v>
      </c>
      <c r="AX53" s="40">
        <v>45291</v>
      </c>
      <c r="AY53" s="38">
        <f t="shared" si="0"/>
        <v>310</v>
      </c>
      <c r="AZ53" s="39" t="s">
        <v>172</v>
      </c>
      <c r="BA53" s="39">
        <v>79279880</v>
      </c>
      <c r="BB53" s="41"/>
      <c r="BC53" s="43"/>
      <c r="BD53" s="39"/>
      <c r="BE53" s="39"/>
      <c r="BF53" s="39"/>
      <c r="BG53" s="43"/>
      <c r="BH53" s="39"/>
      <c r="BI53" s="43"/>
      <c r="BJ53" s="41" t="e">
        <f>([1]!Tabla1[[#This Row],[VALOR TOTAL CONTRATO + VF]]+[1]!Tabla1[[#This Row],[ADICION 1 ]]+[1]!Tabla1[[#This Row],[ADICION 2]]-[1]!Tabla1[[#This Row],[LIBERACION]])</f>
        <v>#REF!</v>
      </c>
      <c r="BK53" s="39"/>
      <c r="BL53" s="43"/>
      <c r="BM53" s="43"/>
      <c r="BN53" s="39"/>
      <c r="BO53" s="39"/>
      <c r="BP53" s="43"/>
      <c r="BQ53" s="39"/>
      <c r="BR53" s="41"/>
      <c r="BS53" s="43"/>
      <c r="BT53" s="39">
        <f>SUM(AY53+BK53+BN53+BQ53)</f>
        <v>310</v>
      </c>
      <c r="BU53" s="43"/>
      <c r="BV53" s="46"/>
    </row>
    <row r="54" spans="1:74" ht="15" customHeight="1" x14ac:dyDescent="0.25">
      <c r="A54" s="36" t="s">
        <v>459</v>
      </c>
      <c r="B54" s="37" t="s">
        <v>460</v>
      </c>
      <c r="C54" s="38" t="s">
        <v>54</v>
      </c>
      <c r="D54" s="42">
        <v>155</v>
      </c>
      <c r="E54" s="42" t="s">
        <v>345</v>
      </c>
      <c r="F54" s="42" t="s">
        <v>339</v>
      </c>
      <c r="G54" s="42" t="s">
        <v>991</v>
      </c>
      <c r="H54" s="42" t="s">
        <v>57</v>
      </c>
      <c r="I54" s="49">
        <v>44956</v>
      </c>
      <c r="J54" s="42" t="s">
        <v>59</v>
      </c>
      <c r="K54" s="42" t="s">
        <v>128</v>
      </c>
      <c r="L54" s="42" t="s">
        <v>340</v>
      </c>
      <c r="M54" s="42" t="s">
        <v>341</v>
      </c>
      <c r="N54" s="42">
        <v>80131502</v>
      </c>
      <c r="O54" s="42" t="s">
        <v>342</v>
      </c>
      <c r="P54" s="50">
        <v>16400000</v>
      </c>
      <c r="Q54" s="50">
        <v>16170000</v>
      </c>
      <c r="R54" s="42">
        <v>19323</v>
      </c>
      <c r="S54" s="42" t="s">
        <v>343</v>
      </c>
      <c r="T54" s="42" t="s">
        <v>133</v>
      </c>
      <c r="U54" s="42" t="s">
        <v>132</v>
      </c>
      <c r="V54" s="42">
        <v>226</v>
      </c>
      <c r="W54" s="42"/>
      <c r="X54" s="42"/>
      <c r="Y54" s="49"/>
      <c r="Z54" s="42"/>
      <c r="AA54" s="42"/>
      <c r="AB54" s="42"/>
      <c r="AC54" s="42"/>
      <c r="AD54" s="42"/>
      <c r="AE54" s="42"/>
      <c r="AF54" s="42"/>
      <c r="AG54" s="42"/>
      <c r="AH54" s="42"/>
      <c r="AI54" s="42"/>
      <c r="AJ54" s="42"/>
      <c r="AK54" s="42"/>
      <c r="AL54" s="52">
        <f ca="1">+YEAR(TODAY())-YEAR(Tabla13[[#This Row],[FECHA DE NACIMIENTO]])</f>
        <v>123</v>
      </c>
      <c r="AM54" s="42"/>
      <c r="AN54" s="49"/>
      <c r="AO54" s="50"/>
      <c r="AP54" s="42"/>
      <c r="AQ54" s="42"/>
      <c r="AR54" s="42"/>
      <c r="AS54" s="53"/>
      <c r="AT54" s="42"/>
      <c r="AU54" s="49"/>
      <c r="AV54" s="54"/>
      <c r="AW54" s="49"/>
      <c r="AX54" s="49"/>
      <c r="AY54" s="37">
        <f t="shared" si="0"/>
        <v>0</v>
      </c>
      <c r="AZ54" s="42"/>
      <c r="BA54" s="42"/>
      <c r="BB54" s="50"/>
      <c r="BC54" s="55"/>
      <c r="BD54" s="42"/>
      <c r="BE54" s="42"/>
      <c r="BF54" s="42"/>
      <c r="BG54" s="55"/>
      <c r="BH54" s="42"/>
      <c r="BI54" s="55"/>
      <c r="BJ54" s="50">
        <f>(Tabla13[[#This Row],[VALOR TOTAL CONTRATO + VF]]+Tabla13[[#This Row],[ADICION 1 ]]+Tabla13[[#This Row],[ADICION 2]]-Tabla13[[#This Row],[LIBERACION]])</f>
        <v>0</v>
      </c>
      <c r="BK54" s="42"/>
      <c r="BL54" s="55"/>
      <c r="BM54" s="55"/>
      <c r="BN54" s="42"/>
      <c r="BO54" s="42"/>
      <c r="BP54" s="55"/>
      <c r="BQ54" s="42"/>
      <c r="BR54" s="50"/>
      <c r="BS54" s="55"/>
      <c r="BT54" s="39"/>
      <c r="BU54" s="55"/>
      <c r="BV54" s="54"/>
    </row>
    <row r="55" spans="1:74" ht="15" customHeight="1" x14ac:dyDescent="0.25">
      <c r="A55" s="56" t="s">
        <v>459</v>
      </c>
      <c r="B55" s="57" t="s">
        <v>460</v>
      </c>
      <c r="C55" s="58" t="s">
        <v>54</v>
      </c>
      <c r="D55" s="59">
        <v>239</v>
      </c>
      <c r="E55" s="59" t="s">
        <v>55</v>
      </c>
      <c r="F55" s="59" t="s">
        <v>120</v>
      </c>
      <c r="G55" s="59" t="s">
        <v>121</v>
      </c>
      <c r="H55" s="59" t="s">
        <v>57</v>
      </c>
      <c r="I55" s="60">
        <v>44957</v>
      </c>
      <c r="J55" s="59" t="s">
        <v>59</v>
      </c>
      <c r="K55" s="59" t="s">
        <v>60</v>
      </c>
      <c r="L55" s="59" t="s">
        <v>99</v>
      </c>
      <c r="M55" s="59" t="s">
        <v>122</v>
      </c>
      <c r="N55" s="59">
        <v>80111600</v>
      </c>
      <c r="O55" s="59" t="s">
        <v>62</v>
      </c>
      <c r="P55" s="61">
        <v>90000000</v>
      </c>
      <c r="Q55" s="61">
        <v>90000000</v>
      </c>
      <c r="R55" s="59">
        <v>15223</v>
      </c>
      <c r="S55" s="59" t="s">
        <v>63</v>
      </c>
      <c r="T55" s="59" t="s">
        <v>64</v>
      </c>
      <c r="U55" s="59" t="s">
        <v>65</v>
      </c>
      <c r="V55" s="59"/>
      <c r="W55" s="59" t="s">
        <v>123</v>
      </c>
      <c r="X55" s="59" t="s">
        <v>127</v>
      </c>
      <c r="Y55" s="60">
        <v>44958</v>
      </c>
      <c r="Z55" s="59" t="s">
        <v>67</v>
      </c>
      <c r="AA55" s="59"/>
      <c r="AB55" s="59" t="s">
        <v>68</v>
      </c>
      <c r="AC55" s="59" t="s">
        <v>69</v>
      </c>
      <c r="AD55" s="59" t="s">
        <v>423</v>
      </c>
      <c r="AE55" s="59">
        <v>91534928</v>
      </c>
      <c r="AF55" s="59"/>
      <c r="AG55" s="59"/>
      <c r="AH55" s="59"/>
      <c r="AI55" s="59"/>
      <c r="AJ55" s="59"/>
      <c r="AK55" s="59"/>
      <c r="AL55" s="62">
        <f ca="1">+YEAR(TODAY())-YEAR(Tabla13[[#This Row],[FECHA DE NACIMIENTO]])</f>
        <v>123</v>
      </c>
      <c r="AM55" s="59">
        <v>31623</v>
      </c>
      <c r="AN55" s="60">
        <v>44958</v>
      </c>
      <c r="AO55" s="61">
        <v>90000000</v>
      </c>
      <c r="AP55" s="59"/>
      <c r="AQ55" s="59"/>
      <c r="AR55" s="59"/>
      <c r="AS55" s="63">
        <v>90000000</v>
      </c>
      <c r="AT55" s="59" t="s">
        <v>75</v>
      </c>
      <c r="AU55" s="60">
        <v>44958</v>
      </c>
      <c r="AV55" s="64" t="s">
        <v>74</v>
      </c>
      <c r="AW55" s="60">
        <v>44958</v>
      </c>
      <c r="AX55" s="60">
        <v>45260</v>
      </c>
      <c r="AY55" s="58">
        <f t="shared" si="0"/>
        <v>302</v>
      </c>
      <c r="AZ55" s="59" t="s">
        <v>124</v>
      </c>
      <c r="BA55" s="59">
        <v>1010181437</v>
      </c>
      <c r="BB55" s="61"/>
      <c r="BC55" s="65"/>
      <c r="BD55" s="59"/>
      <c r="BE55" s="59"/>
      <c r="BF55" s="59"/>
      <c r="BG55" s="65"/>
      <c r="BH55" s="59"/>
      <c r="BI55" s="65"/>
      <c r="BJ55" s="61">
        <f>(Tabla13[[#This Row],[VALOR TOTAL CONTRATO + VF]]+Tabla13[[#This Row],[ADICION 1 ]]+Tabla13[[#This Row],[ADICION 2]]-Tabla13[[#This Row],[LIBERACION]])</f>
        <v>90000000</v>
      </c>
      <c r="BK55" s="59"/>
      <c r="BL55" s="65"/>
      <c r="BM55" s="65"/>
      <c r="BN55" s="59"/>
      <c r="BO55" s="59"/>
      <c r="BP55" s="65"/>
      <c r="BQ55" s="59"/>
      <c r="BR55" s="61"/>
      <c r="BS55" s="65"/>
      <c r="BT55" s="59">
        <f t="shared" ref="BT55:BT62" si="2">SUM(AY55+BK55+BN55+BQ55)</f>
        <v>302</v>
      </c>
      <c r="BU55" s="65"/>
      <c r="BV55" s="64"/>
    </row>
    <row r="56" spans="1:74" ht="15" customHeight="1" x14ac:dyDescent="0.25">
      <c r="A56" s="36" t="s">
        <v>459</v>
      </c>
      <c r="B56" s="37" t="s">
        <v>460</v>
      </c>
      <c r="C56" s="38" t="s">
        <v>54</v>
      </c>
      <c r="D56" s="39">
        <v>151</v>
      </c>
      <c r="E56" s="39" t="s">
        <v>55</v>
      </c>
      <c r="F56" s="39" t="s">
        <v>125</v>
      </c>
      <c r="G56" s="39" t="s">
        <v>126</v>
      </c>
      <c r="H56" s="39" t="s">
        <v>57</v>
      </c>
      <c r="I56" s="40">
        <v>44957</v>
      </c>
      <c r="J56" s="39" t="s">
        <v>59</v>
      </c>
      <c r="K56" s="39" t="s">
        <v>128</v>
      </c>
      <c r="L56" s="39" t="s">
        <v>61</v>
      </c>
      <c r="M56" s="39" t="s">
        <v>129</v>
      </c>
      <c r="N56" s="39">
        <v>80131502</v>
      </c>
      <c r="O56" s="39" t="s">
        <v>130</v>
      </c>
      <c r="P56" s="41">
        <v>4950000</v>
      </c>
      <c r="Q56" s="41">
        <v>4800000</v>
      </c>
      <c r="R56" s="39">
        <v>19423</v>
      </c>
      <c r="S56" s="39" t="s">
        <v>131</v>
      </c>
      <c r="T56" s="39" t="s">
        <v>133</v>
      </c>
      <c r="U56" s="39" t="s">
        <v>132</v>
      </c>
      <c r="V56" s="66" t="s">
        <v>410</v>
      </c>
      <c r="W56" s="39"/>
      <c r="X56" s="39"/>
      <c r="Y56" s="40"/>
      <c r="Z56" s="39"/>
      <c r="AA56" s="39"/>
      <c r="AB56" s="39"/>
      <c r="AC56" s="39"/>
      <c r="AD56" s="39"/>
      <c r="AE56" s="39"/>
      <c r="AF56" s="39"/>
      <c r="AG56" s="39"/>
      <c r="AH56" s="39"/>
      <c r="AI56" s="39"/>
      <c r="AJ56" s="39"/>
      <c r="AK56" s="39"/>
      <c r="AL56" s="44">
        <f ca="1">+YEAR(TODAY())-YEAR(Tabla13[[#This Row],[FECHA DE NACIMIENTO]])</f>
        <v>123</v>
      </c>
      <c r="AM56" s="39"/>
      <c r="AN56" s="40"/>
      <c r="AO56" s="41"/>
      <c r="AP56" s="39"/>
      <c r="AQ56" s="39"/>
      <c r="AR56" s="39"/>
      <c r="AS56" s="45"/>
      <c r="AT56" s="39"/>
      <c r="AU56" s="40"/>
      <c r="AV56" s="46"/>
      <c r="AW56" s="40"/>
      <c r="AX56" s="40"/>
      <c r="AY56" s="38">
        <f t="shared" si="0"/>
        <v>0</v>
      </c>
      <c r="AZ56" s="39"/>
      <c r="BA56" s="39"/>
      <c r="BB56" s="41"/>
      <c r="BC56" s="43"/>
      <c r="BD56" s="39"/>
      <c r="BE56" s="39"/>
      <c r="BF56" s="39"/>
      <c r="BG56" s="43"/>
      <c r="BH56" s="39"/>
      <c r="BI56" s="43"/>
      <c r="BJ56" s="41">
        <f>(Tabla13[[#This Row],[VALOR TOTAL CONTRATO + VF]]+Tabla13[[#This Row],[ADICION 1 ]]+Tabla13[[#This Row],[ADICION 2]]-Tabla13[[#This Row],[LIBERACION]])</f>
        <v>0</v>
      </c>
      <c r="BK56" s="39"/>
      <c r="BL56" s="43"/>
      <c r="BM56" s="43"/>
      <c r="BN56" s="39"/>
      <c r="BO56" s="39"/>
      <c r="BP56" s="43"/>
      <c r="BQ56" s="39"/>
      <c r="BR56" s="41"/>
      <c r="BS56" s="43"/>
      <c r="BT56" s="39">
        <f t="shared" si="2"/>
        <v>0</v>
      </c>
      <c r="BU56" s="43"/>
      <c r="BV56" s="46"/>
    </row>
    <row r="57" spans="1:74" ht="15" customHeight="1" x14ac:dyDescent="0.25">
      <c r="A57" s="36" t="s">
        <v>459</v>
      </c>
      <c r="B57" s="37" t="s">
        <v>460</v>
      </c>
      <c r="C57" s="38" t="s">
        <v>54</v>
      </c>
      <c r="D57" s="39">
        <v>13</v>
      </c>
      <c r="E57" s="39" t="s">
        <v>409</v>
      </c>
      <c r="F57" s="39" t="s">
        <v>388</v>
      </c>
      <c r="G57" s="39" t="s">
        <v>389</v>
      </c>
      <c r="H57" s="39" t="s">
        <v>57</v>
      </c>
      <c r="I57" s="40">
        <v>44957</v>
      </c>
      <c r="J57" s="39" t="s">
        <v>59</v>
      </c>
      <c r="K57" s="39" t="s">
        <v>60</v>
      </c>
      <c r="L57" s="39" t="s">
        <v>150</v>
      </c>
      <c r="M57" s="39" t="s">
        <v>390</v>
      </c>
      <c r="N57" s="39" t="s">
        <v>391</v>
      </c>
      <c r="O57" s="39" t="s">
        <v>732</v>
      </c>
      <c r="P57" s="41">
        <v>66000000</v>
      </c>
      <c r="Q57" s="41">
        <v>66000000</v>
      </c>
      <c r="R57" s="39">
        <v>15423</v>
      </c>
      <c r="S57" s="39" t="s">
        <v>153</v>
      </c>
      <c r="T57" s="39" t="s">
        <v>64</v>
      </c>
      <c r="U57" s="39" t="s">
        <v>65</v>
      </c>
      <c r="V57" s="39"/>
      <c r="W57" s="39" t="s">
        <v>741</v>
      </c>
      <c r="X57" s="39" t="s">
        <v>742</v>
      </c>
      <c r="Y57" s="40">
        <v>44958</v>
      </c>
      <c r="Z57" s="39" t="s">
        <v>67</v>
      </c>
      <c r="AA57" s="39"/>
      <c r="AB57" s="39" t="s">
        <v>68</v>
      </c>
      <c r="AC57" s="39" t="s">
        <v>69</v>
      </c>
      <c r="AD57" s="39" t="s">
        <v>743</v>
      </c>
      <c r="AE57" s="39" t="s">
        <v>744</v>
      </c>
      <c r="AF57" s="39"/>
      <c r="AG57" s="39" t="s">
        <v>745</v>
      </c>
      <c r="AH57" s="39" t="s">
        <v>551</v>
      </c>
      <c r="AI57" s="39"/>
      <c r="AJ57" s="39"/>
      <c r="AK57" s="39">
        <v>22193</v>
      </c>
      <c r="AL57" s="44" t="e">
        <f ca="1">+YEAR(TODAY())-YEAR([1]!Tabla1[[#This Row],[FECHA DE NACIMIENTO]])</f>
        <v>#REF!</v>
      </c>
      <c r="AM57" s="39">
        <v>31823</v>
      </c>
      <c r="AN57" s="40">
        <v>44959</v>
      </c>
      <c r="AO57" s="41">
        <v>66000000</v>
      </c>
      <c r="AP57" s="39"/>
      <c r="AQ57" s="39"/>
      <c r="AR57" s="39"/>
      <c r="AS57" s="45">
        <f>SUM(AO57+AP57+AQ57+AR57)</f>
        <v>66000000</v>
      </c>
      <c r="AT57" s="39" t="s">
        <v>75</v>
      </c>
      <c r="AU57" s="40">
        <v>44959</v>
      </c>
      <c r="AV57" s="46" t="s">
        <v>74</v>
      </c>
      <c r="AW57" s="40">
        <v>44963</v>
      </c>
      <c r="AX57" s="40">
        <v>45291</v>
      </c>
      <c r="AY57" s="38">
        <f t="shared" si="0"/>
        <v>328</v>
      </c>
      <c r="AZ57" s="39" t="s">
        <v>156</v>
      </c>
      <c r="BA57" s="39">
        <v>79276876</v>
      </c>
      <c r="BB57" s="41"/>
      <c r="BC57" s="43"/>
      <c r="BD57" s="39"/>
      <c r="BE57" s="39"/>
      <c r="BF57" s="39"/>
      <c r="BG57" s="43"/>
      <c r="BH57" s="39"/>
      <c r="BI57" s="43"/>
      <c r="BJ57" s="41" t="e">
        <f>([1]!Tabla1[[#This Row],[VALOR TOTAL CONTRATO + VF]]+[1]!Tabla1[[#This Row],[ADICION 1 ]]+[1]!Tabla1[[#This Row],[ADICION 2]]-[1]!Tabla1[[#This Row],[LIBERACION]])</f>
        <v>#REF!</v>
      </c>
      <c r="BK57" s="39"/>
      <c r="BL57" s="43"/>
      <c r="BM57" s="43"/>
      <c r="BN57" s="39"/>
      <c r="BO57" s="39"/>
      <c r="BP57" s="43"/>
      <c r="BQ57" s="39"/>
      <c r="BR57" s="41"/>
      <c r="BS57" s="43"/>
      <c r="BT57" s="39">
        <f t="shared" si="2"/>
        <v>328</v>
      </c>
      <c r="BU57" s="43"/>
      <c r="BV57" s="46"/>
    </row>
    <row r="58" spans="1:74" ht="15" customHeight="1" x14ac:dyDescent="0.25">
      <c r="A58" s="36" t="s">
        <v>459</v>
      </c>
      <c r="B58" s="37" t="s">
        <v>460</v>
      </c>
      <c r="C58" s="38" t="s">
        <v>54</v>
      </c>
      <c r="D58" s="39">
        <v>15</v>
      </c>
      <c r="E58" s="39" t="s">
        <v>409</v>
      </c>
      <c r="F58" s="39" t="s">
        <v>392</v>
      </c>
      <c r="G58" s="39" t="s">
        <v>393</v>
      </c>
      <c r="H58" s="39" t="s">
        <v>57</v>
      </c>
      <c r="I58" s="40">
        <v>44957</v>
      </c>
      <c r="J58" s="39" t="s">
        <v>59</v>
      </c>
      <c r="K58" s="39" t="s">
        <v>60</v>
      </c>
      <c r="L58" s="39" t="s">
        <v>150</v>
      </c>
      <c r="M58" s="39" t="s">
        <v>394</v>
      </c>
      <c r="N58" s="39" t="s">
        <v>746</v>
      </c>
      <c r="O58" s="39" t="s">
        <v>631</v>
      </c>
      <c r="P58" s="41">
        <v>55000000</v>
      </c>
      <c r="Q58" s="41">
        <v>55000000</v>
      </c>
      <c r="R58" s="39">
        <v>15123</v>
      </c>
      <c r="S58" s="39" t="s">
        <v>349</v>
      </c>
      <c r="T58" s="39" t="s">
        <v>64</v>
      </c>
      <c r="U58" s="39" t="s">
        <v>65</v>
      </c>
      <c r="V58" s="39"/>
      <c r="W58" s="39" t="s">
        <v>747</v>
      </c>
      <c r="X58" s="39" t="s">
        <v>127</v>
      </c>
      <c r="Y58" s="40">
        <v>44958</v>
      </c>
      <c r="Z58" s="39" t="s">
        <v>67</v>
      </c>
      <c r="AA58" s="39"/>
      <c r="AB58" s="39" t="s">
        <v>68</v>
      </c>
      <c r="AC58" s="39" t="s">
        <v>69</v>
      </c>
      <c r="AD58" s="39" t="s">
        <v>748</v>
      </c>
      <c r="AE58" s="39">
        <v>21013881</v>
      </c>
      <c r="AF58" s="39"/>
      <c r="AG58" s="39" t="s">
        <v>745</v>
      </c>
      <c r="AH58" s="39" t="s">
        <v>551</v>
      </c>
      <c r="AI58" s="39"/>
      <c r="AJ58" s="39"/>
      <c r="AK58" s="39">
        <v>21938</v>
      </c>
      <c r="AL58" s="44" t="e">
        <f ca="1">+YEAR(TODAY())-YEAR([1]!Tabla1[[#This Row],[FECHA DE NACIMIENTO]])</f>
        <v>#REF!</v>
      </c>
      <c r="AM58" s="39">
        <v>15123</v>
      </c>
      <c r="AN58" s="40">
        <v>44959</v>
      </c>
      <c r="AO58" s="41">
        <v>55000000</v>
      </c>
      <c r="AP58" s="39"/>
      <c r="AQ58" s="39"/>
      <c r="AR58" s="39"/>
      <c r="AS58" s="45">
        <f>SUM(AO58+AP58+AQ58+AR58)</f>
        <v>55000000</v>
      </c>
      <c r="AT58" s="39" t="s">
        <v>75</v>
      </c>
      <c r="AU58" s="40">
        <v>44959</v>
      </c>
      <c r="AV58" s="46" t="s">
        <v>74</v>
      </c>
      <c r="AW58" s="40">
        <v>44959</v>
      </c>
      <c r="AX58" s="40">
        <v>45291</v>
      </c>
      <c r="AY58" s="38">
        <f t="shared" si="0"/>
        <v>332</v>
      </c>
      <c r="AZ58" s="39" t="s">
        <v>156</v>
      </c>
      <c r="BA58" s="39">
        <v>79276876</v>
      </c>
      <c r="BB58" s="41"/>
      <c r="BC58" s="43"/>
      <c r="BD58" s="39"/>
      <c r="BE58" s="39"/>
      <c r="BF58" s="39"/>
      <c r="BG58" s="43"/>
      <c r="BH58" s="39"/>
      <c r="BI58" s="43"/>
      <c r="BJ58" s="41" t="e">
        <f>([1]!Tabla1[[#This Row],[VALOR TOTAL CONTRATO + VF]]+[1]!Tabla1[[#This Row],[ADICION 1 ]]+[1]!Tabla1[[#This Row],[ADICION 2]]-[1]!Tabla1[[#This Row],[LIBERACION]])</f>
        <v>#REF!</v>
      </c>
      <c r="BK58" s="39"/>
      <c r="BL58" s="43"/>
      <c r="BM58" s="43"/>
      <c r="BN58" s="39"/>
      <c r="BO58" s="39"/>
      <c r="BP58" s="43"/>
      <c r="BQ58" s="39"/>
      <c r="BR58" s="41"/>
      <c r="BS58" s="43"/>
      <c r="BT58" s="39">
        <f t="shared" si="2"/>
        <v>332</v>
      </c>
      <c r="BU58" s="43"/>
      <c r="BV58" s="46"/>
    </row>
    <row r="59" spans="1:74" ht="15" customHeight="1" x14ac:dyDescent="0.25">
      <c r="A59" s="36" t="s">
        <v>459</v>
      </c>
      <c r="B59" s="37" t="s">
        <v>460</v>
      </c>
      <c r="C59" s="38" t="s">
        <v>54</v>
      </c>
      <c r="D59" s="39">
        <v>16</v>
      </c>
      <c r="E59" s="39" t="s">
        <v>409</v>
      </c>
      <c r="F59" s="39" t="s">
        <v>398</v>
      </c>
      <c r="G59" s="39" t="s">
        <v>399</v>
      </c>
      <c r="H59" s="39" t="s">
        <v>57</v>
      </c>
      <c r="I59" s="40">
        <v>44957</v>
      </c>
      <c r="J59" s="39" t="s">
        <v>59</v>
      </c>
      <c r="K59" s="39" t="s">
        <v>60</v>
      </c>
      <c r="L59" s="39" t="s">
        <v>150</v>
      </c>
      <c r="M59" s="39" t="s">
        <v>400</v>
      </c>
      <c r="N59" s="39" t="s">
        <v>160</v>
      </c>
      <c r="O59" s="39" t="s">
        <v>732</v>
      </c>
      <c r="P59" s="41">
        <v>55000000</v>
      </c>
      <c r="Q59" s="41">
        <v>55000000</v>
      </c>
      <c r="R59" s="39">
        <v>15323</v>
      </c>
      <c r="S59" s="39" t="s">
        <v>153</v>
      </c>
      <c r="T59" s="39" t="s">
        <v>64</v>
      </c>
      <c r="U59" s="39" t="s">
        <v>65</v>
      </c>
      <c r="V59" s="39"/>
      <c r="W59" s="39" t="s">
        <v>753</v>
      </c>
      <c r="X59" s="39" t="s">
        <v>57</v>
      </c>
      <c r="Y59" s="40">
        <v>44957</v>
      </c>
      <c r="Z59" s="39" t="s">
        <v>67</v>
      </c>
      <c r="AA59" s="39"/>
      <c r="AB59" s="39" t="s">
        <v>68</v>
      </c>
      <c r="AC59" s="39" t="s">
        <v>69</v>
      </c>
      <c r="AD59" s="39" t="s">
        <v>754</v>
      </c>
      <c r="AE59" s="39">
        <v>1003821306</v>
      </c>
      <c r="AF59" s="39"/>
      <c r="AG59" s="39" t="s">
        <v>755</v>
      </c>
      <c r="AH59" s="39" t="s">
        <v>551</v>
      </c>
      <c r="AI59" s="39"/>
      <c r="AJ59" s="39"/>
      <c r="AK59" s="39">
        <v>32417</v>
      </c>
      <c r="AL59" s="44" t="e">
        <f ca="1">+YEAR(TODAY())-YEAR([1]!Tabla1[[#This Row],[FECHA DE NACIMIENTO]])</f>
        <v>#REF!</v>
      </c>
      <c r="AM59" s="39">
        <v>33323</v>
      </c>
      <c r="AN59" s="40">
        <v>44980</v>
      </c>
      <c r="AO59" s="41">
        <v>55000000</v>
      </c>
      <c r="AP59" s="39"/>
      <c r="AQ59" s="39"/>
      <c r="AR59" s="39"/>
      <c r="AS59" s="45">
        <f>SUM(AO59+AP59+AQ59+AR59)</f>
        <v>55000000</v>
      </c>
      <c r="AT59" s="39" t="s">
        <v>297</v>
      </c>
      <c r="AU59" s="40">
        <v>44960</v>
      </c>
      <c r="AV59" s="46" t="s">
        <v>74</v>
      </c>
      <c r="AW59" s="40">
        <v>44960</v>
      </c>
      <c r="AX59" s="40">
        <v>45291</v>
      </c>
      <c r="AY59" s="38">
        <f t="shared" si="0"/>
        <v>331</v>
      </c>
      <c r="AZ59" s="39" t="s">
        <v>156</v>
      </c>
      <c r="BA59" s="39">
        <v>79276876</v>
      </c>
      <c r="BB59" s="41"/>
      <c r="BC59" s="43"/>
      <c r="BD59" s="39"/>
      <c r="BE59" s="39"/>
      <c r="BF59" s="39"/>
      <c r="BG59" s="43"/>
      <c r="BH59" s="39"/>
      <c r="BI59" s="43"/>
      <c r="BJ59" s="41" t="e">
        <f>([1]!Tabla1[[#This Row],[VALOR TOTAL CONTRATO + VF]]+[1]!Tabla1[[#This Row],[ADICION 1 ]]+[1]!Tabla1[[#This Row],[ADICION 2]]-[1]!Tabla1[[#This Row],[LIBERACION]])</f>
        <v>#REF!</v>
      </c>
      <c r="BK59" s="39"/>
      <c r="BL59" s="43"/>
      <c r="BM59" s="43"/>
      <c r="BN59" s="39"/>
      <c r="BO59" s="39"/>
      <c r="BP59" s="43"/>
      <c r="BQ59" s="39"/>
      <c r="BR59" s="41"/>
      <c r="BS59" s="43"/>
      <c r="BT59" s="39">
        <f t="shared" si="2"/>
        <v>331</v>
      </c>
      <c r="BU59" s="43"/>
      <c r="BV59" s="46"/>
    </row>
    <row r="60" spans="1:74" ht="15" customHeight="1" x14ac:dyDescent="0.25">
      <c r="A60" s="36" t="s">
        <v>459</v>
      </c>
      <c r="B60" s="37" t="s">
        <v>460</v>
      </c>
      <c r="C60" s="38" t="s">
        <v>54</v>
      </c>
      <c r="D60" s="39">
        <v>6</v>
      </c>
      <c r="E60" s="39" t="s">
        <v>409</v>
      </c>
      <c r="F60" s="39" t="s">
        <v>401</v>
      </c>
      <c r="G60" s="39" t="s">
        <v>407</v>
      </c>
      <c r="H60" s="39" t="s">
        <v>57</v>
      </c>
      <c r="I60" s="40">
        <v>44957</v>
      </c>
      <c r="J60" s="39" t="s">
        <v>59</v>
      </c>
      <c r="K60" s="39" t="s">
        <v>60</v>
      </c>
      <c r="L60" s="39" t="s">
        <v>408</v>
      </c>
      <c r="M60" s="39" t="s">
        <v>402</v>
      </c>
      <c r="N60" s="39">
        <v>80161500</v>
      </c>
      <c r="O60" s="39" t="s">
        <v>631</v>
      </c>
      <c r="P60" s="41">
        <v>29700000</v>
      </c>
      <c r="Q60" s="41">
        <v>29700000</v>
      </c>
      <c r="R60" s="39">
        <v>10223</v>
      </c>
      <c r="S60" s="39" t="s">
        <v>63</v>
      </c>
      <c r="T60" s="39" t="s">
        <v>64</v>
      </c>
      <c r="U60" s="39" t="s">
        <v>65</v>
      </c>
      <c r="V60" s="39"/>
      <c r="W60" s="39" t="s">
        <v>760</v>
      </c>
      <c r="X60" s="39" t="s">
        <v>127</v>
      </c>
      <c r="Y60" s="40">
        <v>44958</v>
      </c>
      <c r="Z60" s="39" t="s">
        <v>761</v>
      </c>
      <c r="AA60" s="39"/>
      <c r="AB60" s="39" t="s">
        <v>68</v>
      </c>
      <c r="AC60" s="39" t="s">
        <v>69</v>
      </c>
      <c r="AD60" s="39" t="s">
        <v>762</v>
      </c>
      <c r="AE60" s="39">
        <v>53030141</v>
      </c>
      <c r="AF60" s="39"/>
      <c r="AG60" s="39" t="s">
        <v>763</v>
      </c>
      <c r="AH60" s="39" t="s">
        <v>551</v>
      </c>
      <c r="AI60" s="39"/>
      <c r="AJ60" s="39"/>
      <c r="AK60" s="39">
        <v>35883</v>
      </c>
      <c r="AL60" s="44" t="e">
        <f ca="1">+YEAR(TODAY())-YEAR([1]!Tabla1[[#This Row],[FECHA DE NACIMIENTO]])</f>
        <v>#REF!</v>
      </c>
      <c r="AM60" s="39">
        <v>31523</v>
      </c>
      <c r="AN60" s="40">
        <v>44958</v>
      </c>
      <c r="AO60" s="41">
        <v>29700000</v>
      </c>
      <c r="AP60" s="39"/>
      <c r="AQ60" s="39"/>
      <c r="AR60" s="39"/>
      <c r="AS60" s="45">
        <f>SUM(AO60+AP60+AQ60+AR60)</f>
        <v>29700000</v>
      </c>
      <c r="AT60" s="39" t="s">
        <v>75</v>
      </c>
      <c r="AU60" s="40">
        <v>44945</v>
      </c>
      <c r="AV60" s="46" t="s">
        <v>74</v>
      </c>
      <c r="AW60" s="40">
        <v>44958</v>
      </c>
      <c r="AX60" s="40">
        <v>45291</v>
      </c>
      <c r="AY60" s="38">
        <f t="shared" si="0"/>
        <v>333</v>
      </c>
      <c r="AZ60" s="39" t="s">
        <v>764</v>
      </c>
      <c r="BA60" s="39">
        <v>55164919</v>
      </c>
      <c r="BB60" s="41"/>
      <c r="BC60" s="43"/>
      <c r="BD60" s="39"/>
      <c r="BE60" s="39"/>
      <c r="BF60" s="39"/>
      <c r="BG60" s="43"/>
      <c r="BH60" s="39"/>
      <c r="BI60" s="43"/>
      <c r="BJ60" s="41" t="e">
        <f>([1]!Tabla1[[#This Row],[VALOR TOTAL CONTRATO + VF]]+[1]!Tabla1[[#This Row],[ADICION 1 ]]+[1]!Tabla1[[#This Row],[ADICION 2]]-[1]!Tabla1[[#This Row],[LIBERACION]])</f>
        <v>#REF!</v>
      </c>
      <c r="BK60" s="39"/>
      <c r="BL60" s="43"/>
      <c r="BM60" s="43"/>
      <c r="BN60" s="39"/>
      <c r="BO60" s="39"/>
      <c r="BP60" s="43"/>
      <c r="BQ60" s="39"/>
      <c r="BR60" s="41"/>
      <c r="BS60" s="43"/>
      <c r="BT60" s="39">
        <f t="shared" si="2"/>
        <v>333</v>
      </c>
      <c r="BU60" s="43"/>
      <c r="BV60" s="46"/>
    </row>
    <row r="61" spans="1:74" ht="15" customHeight="1" x14ac:dyDescent="0.25">
      <c r="A61" s="36" t="s">
        <v>459</v>
      </c>
      <c r="B61" s="37" t="s">
        <v>460</v>
      </c>
      <c r="C61" s="38" t="s">
        <v>54</v>
      </c>
      <c r="D61" s="39">
        <v>206</v>
      </c>
      <c r="E61" s="39" t="s">
        <v>221</v>
      </c>
      <c r="F61" s="67" t="s">
        <v>552</v>
      </c>
      <c r="G61" s="39" t="s">
        <v>553</v>
      </c>
      <c r="H61" s="39" t="s">
        <v>127</v>
      </c>
      <c r="I61" s="68">
        <v>44963</v>
      </c>
      <c r="J61" s="67" t="s">
        <v>59</v>
      </c>
      <c r="K61" s="39" t="s">
        <v>60</v>
      </c>
      <c r="L61" s="39" t="s">
        <v>61</v>
      </c>
      <c r="M61" s="39" t="s">
        <v>554</v>
      </c>
      <c r="N61" s="39" t="s">
        <v>168</v>
      </c>
      <c r="O61" s="42" t="s">
        <v>169</v>
      </c>
      <c r="P61" s="41">
        <v>66000000</v>
      </c>
      <c r="Q61" s="41">
        <v>66000000</v>
      </c>
      <c r="R61" s="39">
        <v>19523</v>
      </c>
      <c r="S61" s="39" t="s">
        <v>309</v>
      </c>
      <c r="T61" s="39" t="s">
        <v>64</v>
      </c>
      <c r="U61" s="39" t="s">
        <v>65</v>
      </c>
      <c r="V61" s="39"/>
      <c r="W61" s="39" t="s">
        <v>555</v>
      </c>
      <c r="X61" s="39" t="s">
        <v>127</v>
      </c>
      <c r="Y61" s="40">
        <v>44965</v>
      </c>
      <c r="Z61" s="39" t="s">
        <v>60</v>
      </c>
      <c r="AA61" s="39"/>
      <c r="AB61" s="39" t="s">
        <v>68</v>
      </c>
      <c r="AC61" s="39" t="s">
        <v>69</v>
      </c>
      <c r="AD61" s="39" t="s">
        <v>556</v>
      </c>
      <c r="AE61" s="39">
        <v>7214449</v>
      </c>
      <c r="AF61" s="39" t="s">
        <v>141</v>
      </c>
      <c r="AG61" s="39" t="s">
        <v>557</v>
      </c>
      <c r="AH61" s="39" t="s">
        <v>551</v>
      </c>
      <c r="AI61" s="39" t="s">
        <v>467</v>
      </c>
      <c r="AJ61" s="39" t="s">
        <v>517</v>
      </c>
      <c r="AK61" s="39">
        <v>21224</v>
      </c>
      <c r="AL61" s="44" t="e">
        <f ca="1">+YEAR(TODAY())-YEAR([2]!Tabla1[[#This Row],[FECHA DE NACIMIENTO]])</f>
        <v>#REF!</v>
      </c>
      <c r="AM61" s="39">
        <v>35123</v>
      </c>
      <c r="AN61" s="43">
        <v>44964</v>
      </c>
      <c r="AO61" s="41">
        <v>66000000</v>
      </c>
      <c r="AP61" s="39"/>
      <c r="AQ61" s="39"/>
      <c r="AR61" s="39"/>
      <c r="AS61" s="69">
        <v>66000000</v>
      </c>
      <c r="AT61" s="39" t="s">
        <v>75</v>
      </c>
      <c r="AU61" s="43">
        <v>44964</v>
      </c>
      <c r="AV61" s="46" t="s">
        <v>74</v>
      </c>
      <c r="AW61" s="43">
        <v>44966</v>
      </c>
      <c r="AX61" s="43">
        <v>45291</v>
      </c>
      <c r="AY61" s="38">
        <f t="shared" si="0"/>
        <v>325</v>
      </c>
      <c r="AZ61" s="39" t="s">
        <v>558</v>
      </c>
      <c r="BA61" s="39">
        <v>79994053</v>
      </c>
      <c r="BB61" s="41"/>
      <c r="BC61" s="43"/>
      <c r="BD61" s="39"/>
      <c r="BE61" s="39"/>
      <c r="BF61" s="39"/>
      <c r="BG61" s="43"/>
      <c r="BH61" s="39"/>
      <c r="BI61" s="43"/>
      <c r="BJ61" s="41" t="e">
        <f>([2]!Tabla1[[#This Row],[VALOR TOTAL CONTRATO + VF]]+[2]!Tabla1[[#This Row],[ADICION 1 ]]+[2]!Tabla1[[#This Row],[ADICION 2]]-[2]!Tabla1[[#This Row],[LIBERACION]])</f>
        <v>#REF!</v>
      </c>
      <c r="BK61" s="39"/>
      <c r="BL61" s="43"/>
      <c r="BM61" s="43"/>
      <c r="BN61" s="39"/>
      <c r="BO61" s="39"/>
      <c r="BP61" s="43"/>
      <c r="BQ61" s="39"/>
      <c r="BR61" s="41"/>
      <c r="BS61" s="43"/>
      <c r="BT61" s="39">
        <f t="shared" si="2"/>
        <v>325</v>
      </c>
      <c r="BU61" s="43"/>
      <c r="BV61" s="46"/>
    </row>
    <row r="62" spans="1:74" ht="15" customHeight="1" x14ac:dyDescent="0.25">
      <c r="A62" s="36" t="s">
        <v>459</v>
      </c>
      <c r="B62" s="37" t="s">
        <v>460</v>
      </c>
      <c r="C62" s="38" t="s">
        <v>54</v>
      </c>
      <c r="D62" s="39">
        <v>275</v>
      </c>
      <c r="E62" s="39" t="s">
        <v>221</v>
      </c>
      <c r="F62" s="67" t="s">
        <v>584</v>
      </c>
      <c r="G62" s="39" t="s">
        <v>585</v>
      </c>
      <c r="H62" s="39" t="s">
        <v>127</v>
      </c>
      <c r="I62" s="68">
        <v>44963</v>
      </c>
      <c r="J62" s="39" t="s">
        <v>59</v>
      </c>
      <c r="K62" s="39" t="s">
        <v>60</v>
      </c>
      <c r="L62" s="39" t="s">
        <v>86</v>
      </c>
      <c r="M62" s="67" t="s">
        <v>586</v>
      </c>
      <c r="N62" s="39" t="s">
        <v>587</v>
      </c>
      <c r="O62" s="42" t="s">
        <v>588</v>
      </c>
      <c r="P62" s="41">
        <v>38500000</v>
      </c>
      <c r="Q62" s="41">
        <v>38500000</v>
      </c>
      <c r="R62" s="39">
        <v>14623</v>
      </c>
      <c r="S62" s="39" t="s">
        <v>89</v>
      </c>
      <c r="T62" s="39" t="s">
        <v>64</v>
      </c>
      <c r="U62" s="39" t="s">
        <v>65</v>
      </c>
      <c r="V62" s="39"/>
      <c r="W62" s="39" t="s">
        <v>589</v>
      </c>
      <c r="X62" s="39" t="s">
        <v>127</v>
      </c>
      <c r="Y62" s="40">
        <v>44964</v>
      </c>
      <c r="Z62" s="39" t="s">
        <v>60</v>
      </c>
      <c r="AA62" s="39"/>
      <c r="AB62" s="39" t="s">
        <v>68</v>
      </c>
      <c r="AC62" s="39" t="s">
        <v>69</v>
      </c>
      <c r="AD62" s="39" t="s">
        <v>590</v>
      </c>
      <c r="AE62" s="39">
        <v>19262345</v>
      </c>
      <c r="AF62" s="39" t="s">
        <v>141</v>
      </c>
      <c r="AG62" s="39" t="s">
        <v>591</v>
      </c>
      <c r="AH62" s="39" t="s">
        <v>551</v>
      </c>
      <c r="AI62" s="39" t="s">
        <v>467</v>
      </c>
      <c r="AJ62" s="39" t="s">
        <v>517</v>
      </c>
      <c r="AK62" s="39">
        <v>20684</v>
      </c>
      <c r="AL62" s="44" t="e">
        <f ca="1">+YEAR(TODAY())-YEAR([2]!Tabla1[[#This Row],[FECHA DE NACIMIENTO]])</f>
        <v>#REF!</v>
      </c>
      <c r="AM62" s="39">
        <v>35023</v>
      </c>
      <c r="AN62" s="43">
        <v>44964</v>
      </c>
      <c r="AO62" s="41">
        <v>38500000</v>
      </c>
      <c r="AP62" s="39"/>
      <c r="AQ62" s="39"/>
      <c r="AR62" s="39"/>
      <c r="AS62" s="69">
        <v>38500000</v>
      </c>
      <c r="AT62" s="39" t="s">
        <v>75</v>
      </c>
      <c r="AU62" s="43">
        <v>44963</v>
      </c>
      <c r="AV62" s="39" t="s">
        <v>74</v>
      </c>
      <c r="AW62" s="43">
        <v>44964</v>
      </c>
      <c r="AX62" s="43">
        <v>45291</v>
      </c>
      <c r="AY62" s="38">
        <f t="shared" si="0"/>
        <v>327</v>
      </c>
      <c r="AZ62" s="39" t="s">
        <v>92</v>
      </c>
      <c r="BA62" s="39">
        <v>19498970</v>
      </c>
      <c r="BB62" s="41"/>
      <c r="BC62" s="43"/>
      <c r="BD62" s="39"/>
      <c r="BE62" s="39"/>
      <c r="BF62" s="39"/>
      <c r="BG62" s="43"/>
      <c r="BH62" s="39"/>
      <c r="BI62" s="43"/>
      <c r="BJ62" s="41" t="e">
        <f>([2]!Tabla1[[#This Row],[VALOR TOTAL CONTRATO + VF]]+[2]!Tabla1[[#This Row],[ADICION 1 ]]+[2]!Tabla1[[#This Row],[ADICION 2]]-[2]!Tabla1[[#This Row],[LIBERACION]])</f>
        <v>#REF!</v>
      </c>
      <c r="BK62" s="39"/>
      <c r="BL62" s="43"/>
      <c r="BM62" s="43"/>
      <c r="BN62" s="39"/>
      <c r="BO62" s="39"/>
      <c r="BP62" s="43"/>
      <c r="BQ62" s="39"/>
      <c r="BR62" s="41"/>
      <c r="BS62" s="43"/>
      <c r="BT62" s="39">
        <f t="shared" si="2"/>
        <v>327</v>
      </c>
      <c r="BU62" s="43"/>
      <c r="BV62" s="46"/>
    </row>
    <row r="63" spans="1:74" s="212" customFormat="1" ht="15" customHeight="1" x14ac:dyDescent="0.25">
      <c r="A63" s="210" t="s">
        <v>459</v>
      </c>
      <c r="B63" s="210" t="s">
        <v>460</v>
      </c>
      <c r="C63" s="211" t="s">
        <v>54</v>
      </c>
      <c r="D63" s="212">
        <v>64</v>
      </c>
      <c r="E63" s="212" t="s">
        <v>55</v>
      </c>
      <c r="F63" s="212" t="s">
        <v>490</v>
      </c>
      <c r="G63" s="212" t="s">
        <v>491</v>
      </c>
      <c r="H63" s="213" t="s">
        <v>127</v>
      </c>
      <c r="I63" s="214">
        <v>44966</v>
      </c>
      <c r="J63" s="212" t="s">
        <v>492</v>
      </c>
      <c r="K63" s="212" t="s">
        <v>493</v>
      </c>
      <c r="L63" s="210" t="s">
        <v>225</v>
      </c>
      <c r="M63" s="212" t="s">
        <v>494</v>
      </c>
      <c r="N63" s="210">
        <v>43232300</v>
      </c>
      <c r="O63" s="215" t="s">
        <v>495</v>
      </c>
      <c r="P63" s="216">
        <v>760000000</v>
      </c>
      <c r="Q63" s="216">
        <v>759787267</v>
      </c>
      <c r="R63" s="212">
        <v>15923</v>
      </c>
      <c r="S63" s="210" t="s">
        <v>89</v>
      </c>
      <c r="T63" s="213" t="s">
        <v>64</v>
      </c>
      <c r="U63" s="213"/>
      <c r="W63" s="217" t="s">
        <v>1434</v>
      </c>
      <c r="X63" s="212" t="s">
        <v>1407</v>
      </c>
      <c r="Y63" s="218">
        <v>45043</v>
      </c>
      <c r="Z63" s="219" t="s">
        <v>1435</v>
      </c>
      <c r="AB63" s="213" t="s">
        <v>68</v>
      </c>
      <c r="AC63" s="213" t="s">
        <v>1196</v>
      </c>
      <c r="AD63" s="213" t="s">
        <v>1436</v>
      </c>
      <c r="AE63" s="212">
        <v>901704620</v>
      </c>
      <c r="AF63" s="212">
        <v>7</v>
      </c>
      <c r="AH63" s="212" t="s">
        <v>551</v>
      </c>
      <c r="AK63" s="214"/>
      <c r="AL63" s="214"/>
      <c r="AM63" s="213">
        <v>82723</v>
      </c>
      <c r="AN63" s="214">
        <v>45050</v>
      </c>
      <c r="AO63" s="220">
        <v>759310000</v>
      </c>
      <c r="AQ63" s="221"/>
      <c r="AS63" s="220">
        <v>759310000</v>
      </c>
      <c r="AT63" s="219" t="s">
        <v>297</v>
      </c>
      <c r="AU63" s="214">
        <v>45044</v>
      </c>
      <c r="AV63" s="211" t="s">
        <v>74</v>
      </c>
      <c r="AW63" s="214">
        <v>45050</v>
      </c>
      <c r="AX63" s="222">
        <v>45291</v>
      </c>
      <c r="AY63" s="223">
        <f t="shared" si="0"/>
        <v>241</v>
      </c>
      <c r="AZ63" s="224" t="s">
        <v>1217</v>
      </c>
      <c r="BA63" s="224">
        <v>19498970</v>
      </c>
      <c r="BE63" s="214"/>
      <c r="BG63" s="214"/>
      <c r="BH63" s="215"/>
      <c r="BJ63" s="214"/>
      <c r="BK63" s="214"/>
      <c r="BN63" s="214"/>
      <c r="BP63" s="215"/>
      <c r="BQ63" s="214"/>
      <c r="BS63" s="214"/>
    </row>
    <row r="64" spans="1:74" ht="15" customHeight="1" x14ac:dyDescent="0.25">
      <c r="A64" s="36" t="s">
        <v>459</v>
      </c>
      <c r="B64" s="37" t="s">
        <v>460</v>
      </c>
      <c r="C64" s="38" t="s">
        <v>54</v>
      </c>
      <c r="D64" s="39">
        <v>5</v>
      </c>
      <c r="E64" s="39" t="s">
        <v>765</v>
      </c>
      <c r="F64" s="67" t="s">
        <v>619</v>
      </c>
      <c r="G64" s="39" t="s">
        <v>620</v>
      </c>
      <c r="H64" s="39" t="s">
        <v>127</v>
      </c>
      <c r="I64" s="40">
        <v>44967</v>
      </c>
      <c r="J64" s="39" t="s">
        <v>59</v>
      </c>
      <c r="K64" s="39" t="s">
        <v>60</v>
      </c>
      <c r="L64" s="39" t="s">
        <v>621</v>
      </c>
      <c r="M64" s="67" t="s">
        <v>622</v>
      </c>
      <c r="N64" s="39">
        <v>80111607</v>
      </c>
      <c r="O64" s="39" t="s">
        <v>623</v>
      </c>
      <c r="P64" s="41">
        <v>52750000</v>
      </c>
      <c r="Q64" s="41">
        <v>52750000</v>
      </c>
      <c r="R64" s="39">
        <v>21023</v>
      </c>
      <c r="S64" s="39" t="s">
        <v>63</v>
      </c>
      <c r="T64" s="39" t="s">
        <v>64</v>
      </c>
      <c r="U64" s="39" t="s">
        <v>65</v>
      </c>
      <c r="V64" s="39"/>
      <c r="W64" s="39" t="s">
        <v>624</v>
      </c>
      <c r="X64" s="39" t="s">
        <v>742</v>
      </c>
      <c r="Y64" s="40">
        <v>44970</v>
      </c>
      <c r="Z64" s="39" t="s">
        <v>67</v>
      </c>
      <c r="AA64" s="39"/>
      <c r="AB64" s="39" t="s">
        <v>68</v>
      </c>
      <c r="AC64" s="39" t="s">
        <v>69</v>
      </c>
      <c r="AD64" s="213" t="s">
        <v>625</v>
      </c>
      <c r="AE64" s="39">
        <v>1084258429</v>
      </c>
      <c r="AF64" s="39"/>
      <c r="AG64" s="39" t="s">
        <v>626</v>
      </c>
      <c r="AH64" s="39" t="s">
        <v>551</v>
      </c>
      <c r="AI64" s="39"/>
      <c r="AJ64" s="39"/>
      <c r="AK64" s="39">
        <v>34725</v>
      </c>
      <c r="AL64" s="44" t="e">
        <f ca="1">+YEAR(TODAY())-YEAR([1]!Tabla1[[#This Row],[FECHA DE NACIMIENTO]])</f>
        <v>#REF!</v>
      </c>
      <c r="AM64" s="39">
        <v>37223</v>
      </c>
      <c r="AN64" s="40">
        <v>44971</v>
      </c>
      <c r="AO64" s="41">
        <v>52500000</v>
      </c>
      <c r="AP64" s="39"/>
      <c r="AQ64" s="39"/>
      <c r="AR64" s="39"/>
      <c r="AS64" s="45">
        <f>SUM(AO64+AP64+AQ64+AR64)</f>
        <v>52500000</v>
      </c>
      <c r="AT64" s="39" t="s">
        <v>297</v>
      </c>
      <c r="AU64" s="40">
        <v>44971</v>
      </c>
      <c r="AV64" s="39" t="s">
        <v>74</v>
      </c>
      <c r="AW64" s="40">
        <v>44972</v>
      </c>
      <c r="AX64" s="40">
        <v>45291</v>
      </c>
      <c r="AY64" s="38">
        <f t="shared" si="0"/>
        <v>319</v>
      </c>
      <c r="AZ64" s="39" t="s">
        <v>627</v>
      </c>
      <c r="BA64" s="39">
        <v>55164919</v>
      </c>
      <c r="BB64" s="41"/>
      <c r="BC64" s="43"/>
      <c r="BD64" s="39"/>
      <c r="BE64" s="39"/>
      <c r="BF64" s="39"/>
      <c r="BG64" s="43"/>
      <c r="BH64" s="39"/>
      <c r="BI64" s="43"/>
      <c r="BJ64" s="41" t="e">
        <f>([1]!Tabla1[[#This Row],[VALOR TOTAL CONTRATO + VF]]+[1]!Tabla1[[#This Row],[ADICION 1 ]]+[1]!Tabla1[[#This Row],[ADICION 2]]-[1]!Tabla1[[#This Row],[LIBERACION]])</f>
        <v>#REF!</v>
      </c>
      <c r="BK64" s="39"/>
      <c r="BL64" s="43"/>
      <c r="BM64" s="43"/>
      <c r="BN64" s="39"/>
      <c r="BO64" s="39"/>
      <c r="BP64" s="43"/>
      <c r="BQ64" s="39"/>
      <c r="BR64" s="41"/>
      <c r="BS64" s="43"/>
      <c r="BT64" s="39">
        <f>SUM(AY64+BK64+BN64+BQ64)</f>
        <v>319</v>
      </c>
      <c r="BU64" s="43"/>
      <c r="BV64" s="46"/>
    </row>
    <row r="65" spans="1:74" ht="15" customHeight="1" x14ac:dyDescent="0.25">
      <c r="A65" s="36" t="s">
        <v>459</v>
      </c>
      <c r="B65" s="37" t="s">
        <v>460</v>
      </c>
      <c r="C65" s="38" t="s">
        <v>54</v>
      </c>
      <c r="D65" s="39">
        <v>201</v>
      </c>
      <c r="E65" s="39" t="s">
        <v>221</v>
      </c>
      <c r="F65" s="67" t="s">
        <v>545</v>
      </c>
      <c r="G65" s="39" t="s">
        <v>546</v>
      </c>
      <c r="H65" s="39" t="s">
        <v>127</v>
      </c>
      <c r="I65" s="68">
        <v>44967</v>
      </c>
      <c r="J65" s="39" t="s">
        <v>59</v>
      </c>
      <c r="K65" s="39" t="s">
        <v>60</v>
      </c>
      <c r="L65" s="39" t="s">
        <v>61</v>
      </c>
      <c r="M65" s="67" t="s">
        <v>547</v>
      </c>
      <c r="N65" s="39">
        <v>81111504</v>
      </c>
      <c r="O65" s="42" t="s">
        <v>138</v>
      </c>
      <c r="P65" s="41">
        <v>90000000</v>
      </c>
      <c r="Q65" s="41">
        <v>90000000</v>
      </c>
      <c r="R65" s="39">
        <v>12723</v>
      </c>
      <c r="S65" s="39" t="s">
        <v>294</v>
      </c>
      <c r="T65" s="39" t="s">
        <v>64</v>
      </c>
      <c r="U65" s="39" t="s">
        <v>65</v>
      </c>
      <c r="V65" s="39"/>
      <c r="W65" s="39" t="s">
        <v>548</v>
      </c>
      <c r="X65" s="39" t="s">
        <v>127</v>
      </c>
      <c r="Y65" s="40">
        <v>44967</v>
      </c>
      <c r="Z65" s="39" t="s">
        <v>60</v>
      </c>
      <c r="AA65" s="39"/>
      <c r="AB65" s="39" t="s">
        <v>68</v>
      </c>
      <c r="AC65" s="39" t="s">
        <v>69</v>
      </c>
      <c r="AD65" s="213" t="s">
        <v>549</v>
      </c>
      <c r="AE65" s="39">
        <v>51833082</v>
      </c>
      <c r="AF65" s="39" t="s">
        <v>141</v>
      </c>
      <c r="AG65" s="39" t="s">
        <v>550</v>
      </c>
      <c r="AH65" s="39" t="s">
        <v>551</v>
      </c>
      <c r="AI65" s="39" t="s">
        <v>467</v>
      </c>
      <c r="AJ65" s="39" t="s">
        <v>517</v>
      </c>
      <c r="AK65" s="39">
        <v>24402</v>
      </c>
      <c r="AL65" s="44" t="e">
        <f ca="1">+YEAR(TODAY())-YEAR([2]!Tabla1[[#This Row],[FECHA DE NACIMIENTO]])</f>
        <v>#REF!</v>
      </c>
      <c r="AM65" s="39">
        <v>36323</v>
      </c>
      <c r="AN65" s="43">
        <v>44967</v>
      </c>
      <c r="AO65" s="41">
        <v>90000000</v>
      </c>
      <c r="AP65" s="39"/>
      <c r="AQ65" s="39"/>
      <c r="AR65" s="39"/>
      <c r="AS65" s="69">
        <v>90000000</v>
      </c>
      <c r="AT65" s="39" t="s">
        <v>75</v>
      </c>
      <c r="AU65" s="43">
        <v>44967</v>
      </c>
      <c r="AV65" s="39" t="s">
        <v>74</v>
      </c>
      <c r="AW65" s="43">
        <v>44970</v>
      </c>
      <c r="AX65" s="43">
        <v>45272</v>
      </c>
      <c r="AY65" s="38">
        <f t="shared" si="0"/>
        <v>302</v>
      </c>
      <c r="AZ65" s="39" t="s">
        <v>92</v>
      </c>
      <c r="BA65" s="39">
        <v>19498970</v>
      </c>
      <c r="BB65" s="41"/>
      <c r="BC65" s="43"/>
      <c r="BD65" s="39"/>
      <c r="BE65" s="39"/>
      <c r="BF65" s="39"/>
      <c r="BG65" s="43"/>
      <c r="BH65" s="39"/>
      <c r="BI65" s="43"/>
      <c r="BJ65" s="41" t="e">
        <f>([2]!Tabla1[[#This Row],[VALOR TOTAL CONTRATO + VF]]+[2]!Tabla1[[#This Row],[ADICION 1 ]]+[2]!Tabla1[[#This Row],[ADICION 2]]-[2]!Tabla1[[#This Row],[LIBERACION]])</f>
        <v>#REF!</v>
      </c>
      <c r="BK65" s="39"/>
      <c r="BL65" s="43"/>
      <c r="BM65" s="43"/>
      <c r="BN65" s="39"/>
      <c r="BO65" s="39"/>
      <c r="BP65" s="43"/>
      <c r="BQ65" s="39"/>
      <c r="BR65" s="41"/>
      <c r="BS65" s="43"/>
      <c r="BT65" s="39">
        <f>SUM(AY65+BK65+BN65+BQ65)</f>
        <v>302</v>
      </c>
      <c r="BU65" s="43"/>
      <c r="BV65" s="46"/>
    </row>
    <row r="66" spans="1:74" ht="15" customHeight="1" x14ac:dyDescent="0.25">
      <c r="A66" s="36" t="s">
        <v>459</v>
      </c>
      <c r="B66" s="37" t="s">
        <v>460</v>
      </c>
      <c r="C66" s="38" t="s">
        <v>54</v>
      </c>
      <c r="D66" s="39">
        <v>254</v>
      </c>
      <c r="E66" s="39" t="s">
        <v>765</v>
      </c>
      <c r="F66" s="39" t="s">
        <v>608</v>
      </c>
      <c r="G66" s="39" t="s">
        <v>609</v>
      </c>
      <c r="H66" s="39" t="s">
        <v>127</v>
      </c>
      <c r="I66" s="40">
        <v>44970</v>
      </c>
      <c r="J66" s="39" t="s">
        <v>59</v>
      </c>
      <c r="K66" s="39" t="s">
        <v>60</v>
      </c>
      <c r="L66" s="39" t="s">
        <v>610</v>
      </c>
      <c r="M66" s="39" t="s">
        <v>611</v>
      </c>
      <c r="N66" s="39" t="s">
        <v>612</v>
      </c>
      <c r="O66" s="39" t="s">
        <v>613</v>
      </c>
      <c r="P66" s="41">
        <v>75000000</v>
      </c>
      <c r="Q66" s="41">
        <v>75000000</v>
      </c>
      <c r="R66" s="39">
        <v>21623</v>
      </c>
      <c r="S66" s="39" t="s">
        <v>63</v>
      </c>
      <c r="T66" s="39" t="s">
        <v>64</v>
      </c>
      <c r="U66" s="39" t="s">
        <v>65</v>
      </c>
      <c r="V66" s="39"/>
      <c r="W66" s="39" t="s">
        <v>614</v>
      </c>
      <c r="X66" s="39" t="s">
        <v>127</v>
      </c>
      <c r="Y66" s="40">
        <v>44987</v>
      </c>
      <c r="Z66" s="39" t="s">
        <v>615</v>
      </c>
      <c r="AA66" s="39"/>
      <c r="AB66" s="39" t="s">
        <v>68</v>
      </c>
      <c r="AC66" s="39" t="s">
        <v>69</v>
      </c>
      <c r="AD66" s="213" t="s">
        <v>616</v>
      </c>
      <c r="AE66" s="39" t="s">
        <v>617</v>
      </c>
      <c r="AF66" s="39"/>
      <c r="AG66" s="39" t="s">
        <v>517</v>
      </c>
      <c r="AH66" s="39" t="s">
        <v>551</v>
      </c>
      <c r="AI66" s="39"/>
      <c r="AJ66" s="39"/>
      <c r="AK66" s="39"/>
      <c r="AL66" s="44" t="e">
        <f ca="1">+YEAR(TODAY())-YEAR([1]!Tabla1[[#This Row],[FECHA DE NACIMIENTO]])</f>
        <v>#REF!</v>
      </c>
      <c r="AM66" s="39">
        <v>44523</v>
      </c>
      <c r="AN66" s="40">
        <v>44987</v>
      </c>
      <c r="AO66" s="41">
        <v>75000000</v>
      </c>
      <c r="AP66" s="39"/>
      <c r="AQ66" s="39"/>
      <c r="AR66" s="39"/>
      <c r="AS66" s="45">
        <f t="shared" ref="AS66:AS71" si="3">SUM(AO66+AP66+AQ66+AR66)</f>
        <v>75000000</v>
      </c>
      <c r="AT66" s="39" t="s">
        <v>551</v>
      </c>
      <c r="AU66" s="40" t="s">
        <v>517</v>
      </c>
      <c r="AV66" s="46" t="s">
        <v>517</v>
      </c>
      <c r="AW66" s="40">
        <v>44987</v>
      </c>
      <c r="AX66" s="40">
        <v>45291</v>
      </c>
      <c r="AY66" s="38">
        <f t="shared" ref="AY66" si="4">(AX66-AW66)</f>
        <v>304</v>
      </c>
      <c r="AZ66" s="39" t="s">
        <v>618</v>
      </c>
      <c r="BA66" s="39">
        <v>51832657</v>
      </c>
      <c r="BB66" s="41"/>
      <c r="BC66" s="43"/>
      <c r="BD66" s="39"/>
      <c r="BE66" s="39"/>
      <c r="BF66" s="39"/>
      <c r="BG66" s="43"/>
      <c r="BH66" s="39"/>
      <c r="BI66" s="43"/>
      <c r="BJ66" s="41" t="e">
        <f>([1]!Tabla1[[#This Row],[VALOR TOTAL CONTRATO + VF]]+[1]!Tabla1[[#This Row],[ADICION 1 ]]+[1]!Tabla1[[#This Row],[ADICION 2]]-[1]!Tabla1[[#This Row],[LIBERACION]])</f>
        <v>#REF!</v>
      </c>
      <c r="BK66" s="39"/>
      <c r="BL66" s="43"/>
      <c r="BM66" s="43"/>
      <c r="BN66" s="39"/>
      <c r="BO66" s="39"/>
      <c r="BP66" s="43"/>
      <c r="BQ66" s="39"/>
      <c r="BR66" s="41"/>
      <c r="BS66" s="43"/>
      <c r="BT66" s="39">
        <f>SUM(AY66+BK66+BN66+BQ66)</f>
        <v>304</v>
      </c>
      <c r="BU66" s="43"/>
      <c r="BV66" s="46"/>
    </row>
    <row r="67" spans="1:74" ht="15" customHeight="1" x14ac:dyDescent="0.25">
      <c r="A67" s="36" t="s">
        <v>459</v>
      </c>
      <c r="B67" s="37" t="s">
        <v>649</v>
      </c>
      <c r="C67" s="38" t="s">
        <v>481</v>
      </c>
      <c r="D67" s="39">
        <v>223</v>
      </c>
      <c r="E67" s="39" t="s">
        <v>344</v>
      </c>
      <c r="F67" s="39" t="s">
        <v>650</v>
      </c>
      <c r="G67" s="39">
        <v>176316</v>
      </c>
      <c r="H67" s="39" t="s">
        <v>127</v>
      </c>
      <c r="I67" s="68">
        <v>44970</v>
      </c>
      <c r="J67" s="39" t="s">
        <v>1108</v>
      </c>
      <c r="K67" s="39" t="s">
        <v>1107</v>
      </c>
      <c r="L67" s="39" t="s">
        <v>652</v>
      </c>
      <c r="M67" s="39" t="s">
        <v>653</v>
      </c>
      <c r="N67" s="39" t="s">
        <v>654</v>
      </c>
      <c r="O67" s="42" t="s">
        <v>655</v>
      </c>
      <c r="P67" s="41">
        <v>44000000</v>
      </c>
      <c r="Q67" s="41">
        <v>44000000</v>
      </c>
      <c r="R67" s="39">
        <v>22423</v>
      </c>
      <c r="S67" s="39" t="s">
        <v>656</v>
      </c>
      <c r="T67" s="39" t="s">
        <v>64</v>
      </c>
      <c r="U67" s="39" t="s">
        <v>65</v>
      </c>
      <c r="V67" s="39"/>
      <c r="W67" s="39" t="s">
        <v>657</v>
      </c>
      <c r="X67" s="39" t="s">
        <v>127</v>
      </c>
      <c r="Y67" s="40">
        <v>44979</v>
      </c>
      <c r="Z67" s="39" t="s">
        <v>658</v>
      </c>
      <c r="AA67" s="39"/>
      <c r="AB67" s="39" t="s">
        <v>68</v>
      </c>
      <c r="AC67" s="39" t="s">
        <v>69</v>
      </c>
      <c r="AD67" s="213" t="s">
        <v>659</v>
      </c>
      <c r="AE67" s="39">
        <v>900155107</v>
      </c>
      <c r="AF67" s="39"/>
      <c r="AG67" s="39"/>
      <c r="AH67" s="39"/>
      <c r="AI67" s="39"/>
      <c r="AJ67" s="39"/>
      <c r="AK67" s="39"/>
      <c r="AL67" s="44">
        <v>123</v>
      </c>
      <c r="AM67" s="39">
        <v>41423</v>
      </c>
      <c r="AN67" s="43">
        <v>44980</v>
      </c>
      <c r="AO67" s="41">
        <v>43813500</v>
      </c>
      <c r="AP67" s="39"/>
      <c r="AQ67" s="39"/>
      <c r="AR67" s="39"/>
      <c r="AS67" s="45">
        <f t="shared" si="3"/>
        <v>43813500</v>
      </c>
      <c r="AT67" s="39" t="s">
        <v>551</v>
      </c>
      <c r="AU67" s="43" t="s">
        <v>517</v>
      </c>
      <c r="AV67" s="39" t="s">
        <v>517</v>
      </c>
      <c r="AW67" s="43">
        <v>44979</v>
      </c>
      <c r="AX67" s="43">
        <v>45036</v>
      </c>
      <c r="AY67" s="38">
        <v>57</v>
      </c>
      <c r="AZ67" s="39" t="s">
        <v>660</v>
      </c>
      <c r="BA67" s="39">
        <v>52665963</v>
      </c>
      <c r="BB67" s="41"/>
      <c r="BC67" s="43"/>
      <c r="BD67" s="39"/>
      <c r="BE67" s="39"/>
      <c r="BF67" s="39"/>
      <c r="BG67" s="43"/>
      <c r="BH67" s="39"/>
      <c r="BI67" s="43"/>
      <c r="BJ67" s="41">
        <v>43813500</v>
      </c>
      <c r="BK67" s="39"/>
      <c r="BL67" s="43"/>
      <c r="BM67" s="43"/>
      <c r="BN67" s="39"/>
      <c r="BO67" s="39"/>
      <c r="BP67" s="43"/>
      <c r="BQ67" s="39"/>
      <c r="BR67" s="41"/>
      <c r="BS67" s="43"/>
      <c r="BT67" s="39">
        <v>57</v>
      </c>
      <c r="BU67" s="43"/>
      <c r="BV67" s="46"/>
    </row>
    <row r="68" spans="1:74" ht="15" customHeight="1" x14ac:dyDescent="0.25">
      <c r="A68" s="36" t="s">
        <v>459</v>
      </c>
      <c r="B68" s="37" t="s">
        <v>678</v>
      </c>
      <c r="C68" s="38" t="s">
        <v>54</v>
      </c>
      <c r="D68" s="39">
        <v>67</v>
      </c>
      <c r="E68" s="39" t="s">
        <v>344</v>
      </c>
      <c r="F68" s="39" t="s">
        <v>679</v>
      </c>
      <c r="G68" s="39" t="s">
        <v>680</v>
      </c>
      <c r="H68" s="39" t="s">
        <v>127</v>
      </c>
      <c r="I68" s="68">
        <v>44971</v>
      </c>
      <c r="J68" s="39" t="s">
        <v>59</v>
      </c>
      <c r="K68" s="39" t="s">
        <v>60</v>
      </c>
      <c r="L68" s="39" t="s">
        <v>225</v>
      </c>
      <c r="M68" s="39" t="s">
        <v>681</v>
      </c>
      <c r="N68" s="39" t="s">
        <v>682</v>
      </c>
      <c r="O68" s="42" t="s">
        <v>683</v>
      </c>
      <c r="P68" s="41">
        <v>47250000</v>
      </c>
      <c r="Q68" s="41">
        <v>47250000</v>
      </c>
      <c r="R68" s="39">
        <v>20223</v>
      </c>
      <c r="S68" s="39" t="s">
        <v>89</v>
      </c>
      <c r="T68" s="39" t="s">
        <v>64</v>
      </c>
      <c r="U68" s="39" t="s">
        <v>65</v>
      </c>
      <c r="V68" s="39"/>
      <c r="W68" s="39" t="s">
        <v>684</v>
      </c>
      <c r="X68" s="39" t="s">
        <v>127</v>
      </c>
      <c r="Y68" s="40">
        <v>44971</v>
      </c>
      <c r="Z68" s="39" t="s">
        <v>67</v>
      </c>
      <c r="AA68" s="39"/>
      <c r="AB68" s="39" t="s">
        <v>68</v>
      </c>
      <c r="AC68" s="39" t="s">
        <v>69</v>
      </c>
      <c r="AD68" s="213" t="s">
        <v>685</v>
      </c>
      <c r="AE68" s="39">
        <v>1019071696</v>
      </c>
      <c r="AF68" s="39"/>
      <c r="AG68" s="39"/>
      <c r="AH68" s="39"/>
      <c r="AI68" s="39"/>
      <c r="AJ68" s="39"/>
      <c r="AK68" s="39"/>
      <c r="AL68" s="44">
        <v>123</v>
      </c>
      <c r="AM68" s="39">
        <v>37023</v>
      </c>
      <c r="AN68" s="43">
        <v>44971</v>
      </c>
      <c r="AO68" s="41">
        <v>47250000</v>
      </c>
      <c r="AP68" s="39"/>
      <c r="AQ68" s="39"/>
      <c r="AR68" s="39"/>
      <c r="AS68" s="45">
        <f t="shared" si="3"/>
        <v>47250000</v>
      </c>
      <c r="AT68" s="39" t="s">
        <v>297</v>
      </c>
      <c r="AU68" s="43">
        <v>44970</v>
      </c>
      <c r="AV68" s="39" t="s">
        <v>686</v>
      </c>
      <c r="AW68" s="43">
        <v>44971</v>
      </c>
      <c r="AX68" s="43">
        <v>45291</v>
      </c>
      <c r="AY68" s="38">
        <v>292</v>
      </c>
      <c r="AZ68" s="39" t="s">
        <v>92</v>
      </c>
      <c r="BA68" s="39">
        <v>19498970</v>
      </c>
      <c r="BB68" s="41"/>
      <c r="BC68" s="43"/>
      <c r="BD68" s="39"/>
      <c r="BE68" s="39"/>
      <c r="BF68" s="39"/>
      <c r="BG68" s="43"/>
      <c r="BH68" s="39"/>
      <c r="BI68" s="43"/>
      <c r="BJ68" s="41">
        <v>47250000</v>
      </c>
      <c r="BK68" s="39"/>
      <c r="BL68" s="43"/>
      <c r="BM68" s="43"/>
      <c r="BN68" s="39"/>
      <c r="BO68" s="39"/>
      <c r="BP68" s="43"/>
      <c r="BQ68" s="39"/>
      <c r="BR68" s="41"/>
      <c r="BS68" s="43"/>
      <c r="BT68" s="39">
        <v>292</v>
      </c>
      <c r="BU68" s="43"/>
      <c r="BV68" s="46"/>
    </row>
    <row r="69" spans="1:74" ht="15" customHeight="1" x14ac:dyDescent="0.25">
      <c r="A69" s="36" t="s">
        <v>459</v>
      </c>
      <c r="B69" s="37" t="s">
        <v>696</v>
      </c>
      <c r="C69" s="38" t="s">
        <v>54</v>
      </c>
      <c r="D69" s="39">
        <v>58</v>
      </c>
      <c r="E69" s="39" t="s">
        <v>344</v>
      </c>
      <c r="F69" s="39" t="s">
        <v>697</v>
      </c>
      <c r="G69" s="39" t="s">
        <v>698</v>
      </c>
      <c r="H69" s="39" t="s">
        <v>127</v>
      </c>
      <c r="I69" s="68">
        <v>44971</v>
      </c>
      <c r="J69" s="39" t="s">
        <v>59</v>
      </c>
      <c r="K69" s="39" t="s">
        <v>60</v>
      </c>
      <c r="L69" s="39" t="s">
        <v>225</v>
      </c>
      <c r="M69" s="39" t="s">
        <v>699</v>
      </c>
      <c r="N69" s="39" t="s">
        <v>700</v>
      </c>
      <c r="O69" s="42" t="s">
        <v>674</v>
      </c>
      <c r="P69" s="41">
        <v>105000000</v>
      </c>
      <c r="Q69" s="41">
        <v>105000000</v>
      </c>
      <c r="R69" s="39">
        <v>20123</v>
      </c>
      <c r="S69" s="39" t="s">
        <v>89</v>
      </c>
      <c r="T69" s="39" t="s">
        <v>64</v>
      </c>
      <c r="U69" s="39" t="s">
        <v>65</v>
      </c>
      <c r="V69" s="39"/>
      <c r="W69" s="39" t="s">
        <v>701</v>
      </c>
      <c r="X69" s="39" t="s">
        <v>127</v>
      </c>
      <c r="Y69" s="40">
        <v>44971</v>
      </c>
      <c r="Z69" s="39" t="s">
        <v>67</v>
      </c>
      <c r="AA69" s="39"/>
      <c r="AB69" s="39" t="s">
        <v>68</v>
      </c>
      <c r="AC69" s="39" t="s">
        <v>69</v>
      </c>
      <c r="AD69" s="213" t="s">
        <v>702</v>
      </c>
      <c r="AE69" s="39">
        <v>80413656</v>
      </c>
      <c r="AF69" s="39"/>
      <c r="AG69" s="39"/>
      <c r="AH69" s="39"/>
      <c r="AI69" s="39"/>
      <c r="AJ69" s="39"/>
      <c r="AK69" s="39"/>
      <c r="AL69" s="44">
        <v>123</v>
      </c>
      <c r="AM69" s="39">
        <v>37123</v>
      </c>
      <c r="AN69" s="43">
        <v>44971</v>
      </c>
      <c r="AO69" s="41">
        <v>105000000</v>
      </c>
      <c r="AP69" s="39"/>
      <c r="AQ69" s="39"/>
      <c r="AR69" s="39"/>
      <c r="AS69" s="45">
        <f t="shared" si="3"/>
        <v>105000000</v>
      </c>
      <c r="AT69" s="39" t="s">
        <v>297</v>
      </c>
      <c r="AU69" s="43">
        <v>44970</v>
      </c>
      <c r="AV69" s="46" t="s">
        <v>703</v>
      </c>
      <c r="AW69" s="43">
        <v>44971</v>
      </c>
      <c r="AX69" s="43">
        <v>45291</v>
      </c>
      <c r="AY69" s="38">
        <v>292</v>
      </c>
      <c r="AZ69" s="39" t="s">
        <v>92</v>
      </c>
      <c r="BA69" s="39">
        <v>19498970</v>
      </c>
      <c r="BB69" s="41"/>
      <c r="BC69" s="43"/>
      <c r="BD69" s="39"/>
      <c r="BE69" s="39"/>
      <c r="BF69" s="39"/>
      <c r="BG69" s="43"/>
      <c r="BH69" s="39"/>
      <c r="BI69" s="43"/>
      <c r="BJ69" s="41">
        <v>105000000</v>
      </c>
      <c r="BK69" s="39"/>
      <c r="BL69" s="43"/>
      <c r="BM69" s="43"/>
      <c r="BN69" s="39"/>
      <c r="BO69" s="39"/>
      <c r="BP69" s="43"/>
      <c r="BQ69" s="39"/>
      <c r="BR69" s="41"/>
      <c r="BS69" s="43"/>
      <c r="BT69" s="39">
        <v>292</v>
      </c>
      <c r="BU69" s="43"/>
      <c r="BV69" s="46"/>
    </row>
    <row r="70" spans="1:74" ht="14.25" customHeight="1" x14ac:dyDescent="0.25">
      <c r="A70" s="36" t="s">
        <v>459</v>
      </c>
      <c r="B70" s="37" t="s">
        <v>661</v>
      </c>
      <c r="C70" s="38" t="s">
        <v>54</v>
      </c>
      <c r="D70" s="39">
        <v>272</v>
      </c>
      <c r="E70" s="39" t="s">
        <v>344</v>
      </c>
      <c r="F70" s="39" t="s">
        <v>662</v>
      </c>
      <c r="G70" s="39" t="s">
        <v>663</v>
      </c>
      <c r="H70" s="39" t="s">
        <v>127</v>
      </c>
      <c r="I70" s="68">
        <v>44972</v>
      </c>
      <c r="J70" s="39" t="s">
        <v>59</v>
      </c>
      <c r="K70" s="39" t="s">
        <v>60</v>
      </c>
      <c r="L70" s="39" t="s">
        <v>136</v>
      </c>
      <c r="M70" s="39" t="s">
        <v>664</v>
      </c>
      <c r="N70" s="39">
        <v>80111607</v>
      </c>
      <c r="O70" s="42" t="s">
        <v>665</v>
      </c>
      <c r="P70" s="41">
        <v>105000000</v>
      </c>
      <c r="Q70" s="41">
        <v>105000000</v>
      </c>
      <c r="R70" s="39">
        <v>20923</v>
      </c>
      <c r="S70" s="39" t="s">
        <v>89</v>
      </c>
      <c r="T70" s="39" t="s">
        <v>64</v>
      </c>
      <c r="U70" s="39" t="s">
        <v>65</v>
      </c>
      <c r="V70" s="39"/>
      <c r="W70" s="39" t="s">
        <v>666</v>
      </c>
      <c r="X70" s="39" t="s">
        <v>127</v>
      </c>
      <c r="Y70" s="40">
        <v>44973</v>
      </c>
      <c r="Z70" s="39" t="s">
        <v>67</v>
      </c>
      <c r="AA70" s="39"/>
      <c r="AB70" s="39" t="s">
        <v>68</v>
      </c>
      <c r="AC70" s="39" t="s">
        <v>69</v>
      </c>
      <c r="AD70" s="213" t="s">
        <v>667</v>
      </c>
      <c r="AE70" s="39">
        <v>2231695</v>
      </c>
      <c r="AF70" s="39"/>
      <c r="AG70" s="39"/>
      <c r="AH70" s="39"/>
      <c r="AI70" s="39"/>
      <c r="AJ70" s="39"/>
      <c r="AK70" s="39"/>
      <c r="AL70" s="44">
        <v>123</v>
      </c>
      <c r="AM70" s="39">
        <v>37623</v>
      </c>
      <c r="AN70" s="43">
        <v>44981</v>
      </c>
      <c r="AO70" s="41">
        <v>105000000</v>
      </c>
      <c r="AP70" s="39"/>
      <c r="AQ70" s="39"/>
      <c r="AR70" s="39"/>
      <c r="AS70" s="45">
        <f t="shared" si="3"/>
        <v>105000000</v>
      </c>
      <c r="AT70" s="39" t="s">
        <v>297</v>
      </c>
      <c r="AU70" s="43">
        <v>44973</v>
      </c>
      <c r="AV70" s="39" t="s">
        <v>74</v>
      </c>
      <c r="AW70" s="43">
        <v>44972</v>
      </c>
      <c r="AX70" s="43">
        <v>45291</v>
      </c>
      <c r="AY70" s="38">
        <v>319</v>
      </c>
      <c r="AZ70" s="39" t="s">
        <v>668</v>
      </c>
      <c r="BA70" s="39">
        <v>52619262</v>
      </c>
      <c r="BB70" s="41"/>
      <c r="BC70" s="43"/>
      <c r="BD70" s="39"/>
      <c r="BE70" s="39"/>
      <c r="BF70" s="39"/>
      <c r="BG70" s="43"/>
      <c r="BH70" s="39"/>
      <c r="BI70" s="43"/>
      <c r="BJ70" s="41">
        <v>105000000</v>
      </c>
      <c r="BK70" s="39"/>
      <c r="BL70" s="43"/>
      <c r="BM70" s="43"/>
      <c r="BN70" s="39"/>
      <c r="BO70" s="39"/>
      <c r="BP70" s="43"/>
      <c r="BQ70" s="39"/>
      <c r="BR70" s="41"/>
      <c r="BS70" s="43"/>
      <c r="BT70" s="39">
        <v>319</v>
      </c>
      <c r="BU70" s="43"/>
      <c r="BV70" s="46"/>
    </row>
    <row r="71" spans="1:74" ht="15" customHeight="1" x14ac:dyDescent="0.25">
      <c r="A71" s="36" t="s">
        <v>459</v>
      </c>
      <c r="B71" s="37" t="s">
        <v>713</v>
      </c>
      <c r="C71" s="38" t="s">
        <v>54</v>
      </c>
      <c r="D71" s="39">
        <v>59</v>
      </c>
      <c r="E71" s="39" t="s">
        <v>344</v>
      </c>
      <c r="F71" s="67" t="s">
        <v>714</v>
      </c>
      <c r="G71" s="39" t="s">
        <v>715</v>
      </c>
      <c r="H71" s="39" t="s">
        <v>127</v>
      </c>
      <c r="I71" s="68">
        <v>44972</v>
      </c>
      <c r="J71" s="39" t="s">
        <v>59</v>
      </c>
      <c r="K71" s="39" t="s">
        <v>60</v>
      </c>
      <c r="L71" s="39" t="s">
        <v>225</v>
      </c>
      <c r="M71" s="67" t="s">
        <v>716</v>
      </c>
      <c r="N71" s="39">
        <v>811115</v>
      </c>
      <c r="O71" s="42" t="s">
        <v>717</v>
      </c>
      <c r="P71" s="41">
        <v>105000000</v>
      </c>
      <c r="Q71" s="41">
        <v>105000000</v>
      </c>
      <c r="R71" s="39">
        <v>20423</v>
      </c>
      <c r="S71" s="39" t="s">
        <v>89</v>
      </c>
      <c r="T71" s="39" t="s">
        <v>64</v>
      </c>
      <c r="U71" s="39" t="s">
        <v>65</v>
      </c>
      <c r="V71" s="39"/>
      <c r="W71" s="39" t="s">
        <v>718</v>
      </c>
      <c r="X71" s="39" t="s">
        <v>127</v>
      </c>
      <c r="Y71" s="40">
        <v>44972</v>
      </c>
      <c r="Z71" s="39" t="s">
        <v>67</v>
      </c>
      <c r="AA71" s="39"/>
      <c r="AB71" s="39" t="s">
        <v>68</v>
      </c>
      <c r="AC71" s="39" t="s">
        <v>69</v>
      </c>
      <c r="AD71" s="213" t="s">
        <v>719</v>
      </c>
      <c r="AE71" s="39">
        <v>86039854</v>
      </c>
      <c r="AF71" s="39"/>
      <c r="AG71" s="39"/>
      <c r="AH71" s="39"/>
      <c r="AI71" s="39"/>
      <c r="AJ71" s="39"/>
      <c r="AK71" s="39"/>
      <c r="AL71" s="44">
        <v>123</v>
      </c>
      <c r="AM71" s="39">
        <v>38123</v>
      </c>
      <c r="AN71" s="43">
        <v>44972</v>
      </c>
      <c r="AO71" s="41">
        <v>105000000</v>
      </c>
      <c r="AP71" s="39"/>
      <c r="AQ71" s="39"/>
      <c r="AR71" s="39"/>
      <c r="AS71" s="45">
        <f t="shared" si="3"/>
        <v>105000000</v>
      </c>
      <c r="AT71" s="39" t="s">
        <v>297</v>
      </c>
      <c r="AU71" s="43">
        <v>44977</v>
      </c>
      <c r="AV71" s="39" t="s">
        <v>720</v>
      </c>
      <c r="AW71" s="43">
        <v>44972</v>
      </c>
      <c r="AX71" s="43">
        <v>45291</v>
      </c>
      <c r="AY71" s="39">
        <v>319</v>
      </c>
      <c r="AZ71" s="39" t="s">
        <v>92</v>
      </c>
      <c r="BA71" s="39">
        <v>19498970</v>
      </c>
      <c r="BB71" s="41"/>
      <c r="BC71" s="43"/>
      <c r="BD71" s="39"/>
      <c r="BE71" s="39"/>
      <c r="BF71" s="39"/>
      <c r="BG71" s="43"/>
      <c r="BH71" s="39"/>
      <c r="BI71" s="43"/>
      <c r="BJ71" s="41">
        <v>105000000</v>
      </c>
      <c r="BK71" s="39"/>
      <c r="BL71" s="43"/>
      <c r="BM71" s="43"/>
      <c r="BN71" s="39"/>
      <c r="BO71" s="39"/>
      <c r="BP71" s="43"/>
      <c r="BQ71" s="39"/>
      <c r="BR71" s="41"/>
      <c r="BS71" s="43"/>
      <c r="BT71" s="39">
        <v>319</v>
      </c>
      <c r="BU71" s="43"/>
      <c r="BV71" s="46"/>
    </row>
    <row r="72" spans="1:74" ht="15" customHeight="1" x14ac:dyDescent="0.25">
      <c r="A72" s="36" t="s">
        <v>459</v>
      </c>
      <c r="B72" s="37" t="s">
        <v>460</v>
      </c>
      <c r="C72" s="38" t="s">
        <v>54</v>
      </c>
      <c r="D72" s="39">
        <v>210</v>
      </c>
      <c r="E72" s="39" t="s">
        <v>221</v>
      </c>
      <c r="F72" s="67" t="s">
        <v>559</v>
      </c>
      <c r="G72" s="39" t="s">
        <v>560</v>
      </c>
      <c r="H72" s="39" t="s">
        <v>127</v>
      </c>
      <c r="I72" s="68">
        <v>44972</v>
      </c>
      <c r="J72" s="39" t="s">
        <v>59</v>
      </c>
      <c r="K72" s="39" t="s">
        <v>60</v>
      </c>
      <c r="L72" s="39" t="s">
        <v>61</v>
      </c>
      <c r="M72" s="67" t="s">
        <v>561</v>
      </c>
      <c r="N72" s="39" t="s">
        <v>168</v>
      </c>
      <c r="O72" s="42" t="s">
        <v>169</v>
      </c>
      <c r="P72" s="41">
        <v>63000000</v>
      </c>
      <c r="Q72" s="41">
        <v>63000000</v>
      </c>
      <c r="R72" s="39">
        <v>21223</v>
      </c>
      <c r="S72" s="39" t="s">
        <v>309</v>
      </c>
      <c r="T72" s="39" t="s">
        <v>64</v>
      </c>
      <c r="U72" s="39" t="s">
        <v>65</v>
      </c>
      <c r="V72" s="39"/>
      <c r="W72" s="39" t="s">
        <v>562</v>
      </c>
      <c r="X72" s="39" t="s">
        <v>127</v>
      </c>
      <c r="Y72" s="40">
        <v>44977</v>
      </c>
      <c r="Z72" s="39" t="s">
        <v>60</v>
      </c>
      <c r="AA72" s="39"/>
      <c r="AB72" s="39" t="s">
        <v>68</v>
      </c>
      <c r="AC72" s="39" t="s">
        <v>69</v>
      </c>
      <c r="AD72" s="213" t="s">
        <v>563</v>
      </c>
      <c r="AE72" s="39">
        <v>75066578</v>
      </c>
      <c r="AF72" s="39" t="s">
        <v>141</v>
      </c>
      <c r="AG72" s="39" t="s">
        <v>564</v>
      </c>
      <c r="AH72" s="39" t="s">
        <v>551</v>
      </c>
      <c r="AI72" s="39" t="s">
        <v>467</v>
      </c>
      <c r="AJ72" s="39" t="s">
        <v>517</v>
      </c>
      <c r="AK72" s="39">
        <v>26367</v>
      </c>
      <c r="AL72" s="44" t="e">
        <f ca="1">+YEAR(TODAY())-YEAR([2]!Tabla1[[#This Row],[FECHA DE NACIMIENTO]])</f>
        <v>#REF!</v>
      </c>
      <c r="AM72" s="39">
        <v>39023</v>
      </c>
      <c r="AN72" s="43"/>
      <c r="AO72" s="41">
        <v>63000000</v>
      </c>
      <c r="AP72" s="39"/>
      <c r="AQ72" s="39"/>
      <c r="AR72" s="39"/>
      <c r="AS72" s="69">
        <v>63000000</v>
      </c>
      <c r="AT72" s="39" t="s">
        <v>75</v>
      </c>
      <c r="AU72" s="43">
        <v>44974</v>
      </c>
      <c r="AV72" s="39" t="s">
        <v>74</v>
      </c>
      <c r="AW72" s="43">
        <v>44977</v>
      </c>
      <c r="AX72" s="43">
        <v>45291</v>
      </c>
      <c r="AY72" s="39">
        <f>(AX72-AW72)</f>
        <v>314</v>
      </c>
      <c r="AZ72" s="39" t="s">
        <v>558</v>
      </c>
      <c r="BA72" s="39">
        <v>79994053</v>
      </c>
      <c r="BB72" s="41"/>
      <c r="BC72" s="43"/>
      <c r="BD72" s="39"/>
      <c r="BE72" s="39"/>
      <c r="BF72" s="39"/>
      <c r="BG72" s="43"/>
      <c r="BH72" s="39"/>
      <c r="BI72" s="43"/>
      <c r="BJ72" s="41" t="e">
        <f>([2]!Tabla1[[#This Row],[VALOR TOTAL CONTRATO + VF]]+[2]!Tabla1[[#This Row],[ADICION 1 ]]+[2]!Tabla1[[#This Row],[ADICION 2]]-[2]!Tabla1[[#This Row],[LIBERACION]])</f>
        <v>#REF!</v>
      </c>
      <c r="BK72" s="39"/>
      <c r="BL72" s="43"/>
      <c r="BM72" s="43"/>
      <c r="BN72" s="39"/>
      <c r="BO72" s="39"/>
      <c r="BP72" s="43"/>
      <c r="BQ72" s="39"/>
      <c r="BR72" s="41"/>
      <c r="BS72" s="43"/>
      <c r="BT72" s="39">
        <f>SUM(AY72+BK72+BN72+BQ72)</f>
        <v>314</v>
      </c>
      <c r="BU72" s="43"/>
      <c r="BV72" s="46"/>
    </row>
    <row r="73" spans="1:74" ht="15" customHeight="1" x14ac:dyDescent="0.25">
      <c r="A73" s="36" t="s">
        <v>459</v>
      </c>
      <c r="B73" s="37" t="s">
        <v>460</v>
      </c>
      <c r="C73" s="38" t="s">
        <v>54</v>
      </c>
      <c r="D73" s="42">
        <v>63</v>
      </c>
      <c r="E73" s="39" t="s">
        <v>221</v>
      </c>
      <c r="F73" s="42" t="s">
        <v>527</v>
      </c>
      <c r="G73" s="39" t="s">
        <v>528</v>
      </c>
      <c r="H73" s="39" t="s">
        <v>127</v>
      </c>
      <c r="I73" s="68">
        <v>44973</v>
      </c>
      <c r="J73" s="42" t="s">
        <v>59</v>
      </c>
      <c r="K73" s="42" t="s">
        <v>330</v>
      </c>
      <c r="L73" s="39" t="s">
        <v>86</v>
      </c>
      <c r="M73" s="39" t="s">
        <v>529</v>
      </c>
      <c r="N73" s="39" t="s">
        <v>530</v>
      </c>
      <c r="O73" s="39" t="s">
        <v>531</v>
      </c>
      <c r="P73" s="50">
        <v>1038000000</v>
      </c>
      <c r="Q73" s="50">
        <v>1037971678</v>
      </c>
      <c r="R73" s="39">
        <v>21723</v>
      </c>
      <c r="S73" s="39" t="s">
        <v>89</v>
      </c>
      <c r="T73" s="39" t="s">
        <v>64</v>
      </c>
      <c r="U73" s="39" t="s">
        <v>65</v>
      </c>
      <c r="V73" s="39"/>
      <c r="W73" s="39" t="s">
        <v>896</v>
      </c>
      <c r="X73" s="39" t="s">
        <v>769</v>
      </c>
      <c r="Y73" s="68">
        <v>44988</v>
      </c>
      <c r="Z73" s="39" t="s">
        <v>861</v>
      </c>
      <c r="AA73" s="39"/>
      <c r="AB73" s="39" t="s">
        <v>68</v>
      </c>
      <c r="AC73" s="39" t="s">
        <v>69</v>
      </c>
      <c r="AD73" s="213" t="s">
        <v>897</v>
      </c>
      <c r="AE73" s="39">
        <v>830079892</v>
      </c>
      <c r="AF73" s="39">
        <v>4</v>
      </c>
      <c r="AG73" s="42" t="s">
        <v>517</v>
      </c>
      <c r="AH73" s="39" t="s">
        <v>551</v>
      </c>
      <c r="AI73" s="39" t="s">
        <v>467</v>
      </c>
      <c r="AJ73" s="39" t="s">
        <v>884</v>
      </c>
      <c r="AK73" s="44" t="s">
        <v>517</v>
      </c>
      <c r="AL73" s="44" t="s">
        <v>517</v>
      </c>
      <c r="AM73" s="39">
        <v>44923</v>
      </c>
      <c r="AN73" s="68">
        <v>44988</v>
      </c>
      <c r="AO73" s="41">
        <v>1037971678</v>
      </c>
      <c r="AP73" s="39"/>
      <c r="AQ73" s="39"/>
      <c r="AR73" s="39"/>
      <c r="AS73" s="41">
        <v>1037971678</v>
      </c>
      <c r="AT73" s="39" t="s">
        <v>75</v>
      </c>
      <c r="AU73" s="68">
        <v>44995</v>
      </c>
      <c r="AV73" s="39" t="s">
        <v>898</v>
      </c>
      <c r="AW73" s="68">
        <v>44995</v>
      </c>
      <c r="AX73" s="68">
        <v>45087</v>
      </c>
      <c r="AY73" s="39">
        <f>(AX73-AW73)</f>
        <v>92</v>
      </c>
      <c r="AZ73" s="39" t="s">
        <v>92</v>
      </c>
      <c r="BA73" s="39">
        <v>19498970</v>
      </c>
      <c r="BB73" s="41"/>
      <c r="BC73" s="43"/>
      <c r="BD73" s="39"/>
      <c r="BE73" s="39"/>
      <c r="BF73" s="39"/>
      <c r="BG73" s="43"/>
      <c r="BH73" s="39"/>
      <c r="BI73" s="43"/>
      <c r="BJ73" s="41" t="e">
        <f>([3]!Tabla1[[#This Row],[VALOR TOTAL CONTRATO + VF]]+[3]!Tabla1[[#This Row],[ADICION 1 ]]+[3]!Tabla1[[#This Row],[ADICION 2]]-[3]!Tabla1[[#This Row],[LIBERACION]])</f>
        <v>#REF!</v>
      </c>
      <c r="BK73" s="39"/>
      <c r="BL73" s="43"/>
      <c r="BM73" s="43"/>
      <c r="BN73" s="39"/>
      <c r="BO73" s="39"/>
      <c r="BP73" s="43"/>
      <c r="BQ73" s="39"/>
      <c r="BR73" s="41"/>
      <c r="BS73" s="43"/>
      <c r="BT73" s="39">
        <f>SUM(AY73+BK73+BN73+BQ73)</f>
        <v>92</v>
      </c>
      <c r="BU73" s="43"/>
      <c r="BV73" s="46"/>
    </row>
    <row r="74" spans="1:74" ht="15" customHeight="1" x14ac:dyDescent="0.25">
      <c r="A74" s="36" t="s">
        <v>459</v>
      </c>
      <c r="B74" s="37" t="s">
        <v>460</v>
      </c>
      <c r="C74" s="38" t="s">
        <v>54</v>
      </c>
      <c r="D74" s="39">
        <v>238</v>
      </c>
      <c r="E74" s="39" t="s">
        <v>221</v>
      </c>
      <c r="F74" s="67" t="s">
        <v>579</v>
      </c>
      <c r="G74" s="39" t="s">
        <v>580</v>
      </c>
      <c r="H74" s="39" t="s">
        <v>127</v>
      </c>
      <c r="I74" s="68">
        <v>44973</v>
      </c>
      <c r="J74" s="39" t="s">
        <v>59</v>
      </c>
      <c r="K74" s="39" t="s">
        <v>60</v>
      </c>
      <c r="L74" s="39" t="s">
        <v>334</v>
      </c>
      <c r="M74" s="67" t="s">
        <v>335</v>
      </c>
      <c r="N74" s="39" t="s">
        <v>581</v>
      </c>
      <c r="O74" s="42" t="s">
        <v>578</v>
      </c>
      <c r="P74" s="41">
        <v>90000000</v>
      </c>
      <c r="Q74" s="41">
        <v>90000000</v>
      </c>
      <c r="R74" s="39">
        <v>19823</v>
      </c>
      <c r="S74" s="39" t="s">
        <v>89</v>
      </c>
      <c r="T74" s="39" t="s">
        <v>64</v>
      </c>
      <c r="U74" s="39" t="s">
        <v>65</v>
      </c>
      <c r="V74" s="39"/>
      <c r="W74" s="39" t="s">
        <v>582</v>
      </c>
      <c r="X74" s="39" t="s">
        <v>127</v>
      </c>
      <c r="Y74" s="40">
        <v>44977</v>
      </c>
      <c r="Z74" s="39" t="s">
        <v>60</v>
      </c>
      <c r="AA74" s="39"/>
      <c r="AB74" s="39" t="s">
        <v>68</v>
      </c>
      <c r="AC74" s="39" t="s">
        <v>69</v>
      </c>
      <c r="AD74" s="213" t="s">
        <v>583</v>
      </c>
      <c r="AE74" s="39">
        <v>51967613</v>
      </c>
      <c r="AF74" s="39" t="s">
        <v>141</v>
      </c>
      <c r="AG74" s="39" t="s">
        <v>550</v>
      </c>
      <c r="AH74" s="39" t="s">
        <v>551</v>
      </c>
      <c r="AI74" s="39" t="s">
        <v>467</v>
      </c>
      <c r="AJ74" s="39" t="s">
        <v>517</v>
      </c>
      <c r="AK74" s="39">
        <v>25348</v>
      </c>
      <c r="AL74" s="44" t="e">
        <f ca="1">+YEAR(TODAY())-YEAR([2]!Tabla1[[#This Row],[FECHA DE NACIMIENTO]])</f>
        <v>#REF!</v>
      </c>
      <c r="AM74" s="39">
        <v>40123</v>
      </c>
      <c r="AN74" s="43">
        <v>44977</v>
      </c>
      <c r="AO74" s="41">
        <v>90000000</v>
      </c>
      <c r="AP74" s="39"/>
      <c r="AQ74" s="39"/>
      <c r="AR74" s="39"/>
      <c r="AS74" s="69">
        <v>90000000</v>
      </c>
      <c r="AT74" s="39" t="s">
        <v>75</v>
      </c>
      <c r="AU74" s="43">
        <v>44977</v>
      </c>
      <c r="AV74" s="39" t="s">
        <v>74</v>
      </c>
      <c r="AW74" s="43">
        <v>44977</v>
      </c>
      <c r="AX74" s="43">
        <v>45280</v>
      </c>
      <c r="AY74" s="39">
        <f>(AX74-AW74)</f>
        <v>303</v>
      </c>
      <c r="AZ74" s="39" t="s">
        <v>124</v>
      </c>
      <c r="BA74" s="39">
        <v>1010181437</v>
      </c>
      <c r="BB74" s="41"/>
      <c r="BC74" s="43"/>
      <c r="BD74" s="39"/>
      <c r="BE74" s="39"/>
      <c r="BF74" s="39"/>
      <c r="BG74" s="43"/>
      <c r="BH74" s="39"/>
      <c r="BI74" s="43"/>
      <c r="BJ74" s="41" t="e">
        <f>([2]!Tabla1[[#This Row],[VALOR TOTAL CONTRATO + VF]]+[2]!Tabla1[[#This Row],[ADICION 1 ]]+[2]!Tabla1[[#This Row],[ADICION 2]]-[2]!Tabla1[[#This Row],[LIBERACION]])</f>
        <v>#REF!</v>
      </c>
      <c r="BK74" s="39"/>
      <c r="BL74" s="43"/>
      <c r="BM74" s="43"/>
      <c r="BN74" s="39"/>
      <c r="BO74" s="39"/>
      <c r="BP74" s="43"/>
      <c r="BQ74" s="39"/>
      <c r="BR74" s="41"/>
      <c r="BS74" s="43"/>
      <c r="BT74" s="39">
        <f>SUM(AY74+BK74+BN74+BQ74)</f>
        <v>303</v>
      </c>
      <c r="BU74" s="43"/>
      <c r="BV74" s="46"/>
    </row>
    <row r="75" spans="1:74" s="3" customFormat="1" ht="15" customHeight="1" x14ac:dyDescent="0.25">
      <c r="A75" s="14" t="s">
        <v>459</v>
      </c>
      <c r="B75" s="4" t="s">
        <v>460</v>
      </c>
      <c r="C75" s="7" t="s">
        <v>481</v>
      </c>
      <c r="D75" s="3">
        <v>97</v>
      </c>
      <c r="E75" s="3" t="s">
        <v>55</v>
      </c>
      <c r="F75" s="13" t="s">
        <v>601</v>
      </c>
      <c r="G75" s="3">
        <v>144547</v>
      </c>
      <c r="H75" s="3" t="s">
        <v>127</v>
      </c>
      <c r="I75" s="23">
        <v>44974</v>
      </c>
      <c r="J75" s="3" t="s">
        <v>492</v>
      </c>
      <c r="K75" s="3" t="s">
        <v>508</v>
      </c>
      <c r="L75" s="3" t="s">
        <v>225</v>
      </c>
      <c r="M75" s="13" t="s">
        <v>509</v>
      </c>
      <c r="N75" s="3">
        <v>81112100</v>
      </c>
      <c r="O75" s="1" t="s">
        <v>88</v>
      </c>
      <c r="P75" s="8">
        <v>2200000</v>
      </c>
      <c r="Q75" s="8">
        <v>2200000</v>
      </c>
      <c r="R75" s="3">
        <v>22523</v>
      </c>
      <c r="S75" s="3" t="s">
        <v>89</v>
      </c>
      <c r="T75" s="3" t="s">
        <v>64</v>
      </c>
      <c r="U75" s="3" t="s">
        <v>65</v>
      </c>
      <c r="V75" s="197"/>
      <c r="W75" s="3" t="s">
        <v>815</v>
      </c>
      <c r="X75" s="3" t="s">
        <v>769</v>
      </c>
      <c r="Y75" s="23">
        <v>44991</v>
      </c>
      <c r="Z75" s="3" t="s">
        <v>816</v>
      </c>
      <c r="AB75" s="3" t="s">
        <v>68</v>
      </c>
      <c r="AC75" s="3" t="s">
        <v>69</v>
      </c>
      <c r="AD75" s="213" t="s">
        <v>817</v>
      </c>
      <c r="AE75" s="3">
        <v>830077380</v>
      </c>
      <c r="AF75" s="3">
        <v>6</v>
      </c>
      <c r="AL75" s="10" t="e">
        <f ca="1">+YEAR(TODAY())-YEAR([4]!Tabla1[[#This Row],[FECHA DE NACIMIENTO]])</f>
        <v>#REF!</v>
      </c>
      <c r="AM75" s="3">
        <v>46823</v>
      </c>
      <c r="AN75" s="23">
        <v>44965</v>
      </c>
      <c r="AO75" s="8">
        <v>1468821137.8</v>
      </c>
      <c r="AS75" s="11">
        <v>1468821137.8</v>
      </c>
      <c r="AT75" s="3" t="s">
        <v>75</v>
      </c>
      <c r="AU75" s="23">
        <v>44993</v>
      </c>
      <c r="AV75" s="12" t="s">
        <v>74</v>
      </c>
      <c r="AW75" s="23">
        <v>44993</v>
      </c>
      <c r="AX75" s="23">
        <v>45291</v>
      </c>
      <c r="AY75" s="7">
        <f>(AX75-AW75)</f>
        <v>298</v>
      </c>
      <c r="AZ75" s="3" t="s">
        <v>92</v>
      </c>
      <c r="BA75" s="3">
        <v>19498970</v>
      </c>
      <c r="BB75" s="8"/>
      <c r="BC75" s="9"/>
      <c r="BG75" s="9"/>
      <c r="BI75" s="9"/>
      <c r="BJ75" s="8"/>
      <c r="BL75" s="9"/>
      <c r="BM75" s="9"/>
      <c r="BP75" s="9"/>
      <c r="BR75" s="8"/>
      <c r="BS75" s="9"/>
      <c r="BU75" s="9"/>
      <c r="BV75" s="12"/>
    </row>
    <row r="76" spans="1:74" ht="15" customHeight="1" x14ac:dyDescent="0.25">
      <c r="A76" s="36" t="s">
        <v>459</v>
      </c>
      <c r="B76" s="37" t="s">
        <v>721</v>
      </c>
      <c r="C76" s="38" t="s">
        <v>54</v>
      </c>
      <c r="D76" s="39">
        <v>66</v>
      </c>
      <c r="E76" s="39" t="s">
        <v>344</v>
      </c>
      <c r="F76" s="67" t="s">
        <v>722</v>
      </c>
      <c r="G76" s="39" t="s">
        <v>723</v>
      </c>
      <c r="H76" s="39" t="s">
        <v>127</v>
      </c>
      <c r="I76" s="68">
        <v>44977</v>
      </c>
      <c r="J76" s="39" t="s">
        <v>59</v>
      </c>
      <c r="K76" s="39" t="s">
        <v>60</v>
      </c>
      <c r="L76" s="39" t="s">
        <v>225</v>
      </c>
      <c r="M76" s="67" t="s">
        <v>724</v>
      </c>
      <c r="N76" s="39" t="s">
        <v>682</v>
      </c>
      <c r="O76" s="42" t="s">
        <v>683</v>
      </c>
      <c r="P76" s="41">
        <v>105000000</v>
      </c>
      <c r="Q76" s="41">
        <v>105000000</v>
      </c>
      <c r="R76" s="39">
        <v>20323</v>
      </c>
      <c r="S76" s="39" t="s">
        <v>89</v>
      </c>
      <c r="T76" s="39" t="s">
        <v>64</v>
      </c>
      <c r="U76" s="39" t="s">
        <v>65</v>
      </c>
      <c r="V76" s="39"/>
      <c r="W76" s="39" t="s">
        <v>725</v>
      </c>
      <c r="X76" s="39" t="s">
        <v>127</v>
      </c>
      <c r="Y76" s="40">
        <v>44977</v>
      </c>
      <c r="Z76" s="39" t="s">
        <v>67</v>
      </c>
      <c r="AA76" s="39"/>
      <c r="AB76" s="39" t="s">
        <v>68</v>
      </c>
      <c r="AC76" s="39" t="s">
        <v>69</v>
      </c>
      <c r="AD76" s="213" t="s">
        <v>726</v>
      </c>
      <c r="AE76" s="39">
        <v>79694066</v>
      </c>
      <c r="AF76" s="39"/>
      <c r="AG76" s="39"/>
      <c r="AH76" s="39"/>
      <c r="AI76" s="39"/>
      <c r="AJ76" s="39"/>
      <c r="AK76" s="39"/>
      <c r="AL76" s="44">
        <v>123</v>
      </c>
      <c r="AM76" s="39">
        <v>40323</v>
      </c>
      <c r="AN76" s="43">
        <v>44977</v>
      </c>
      <c r="AO76" s="41">
        <v>105000000</v>
      </c>
      <c r="AP76" s="39"/>
      <c r="AQ76" s="39"/>
      <c r="AR76" s="39"/>
      <c r="AS76" s="45">
        <f>SUM(AO76+AP76+AQ76+AR76)</f>
        <v>105000000</v>
      </c>
      <c r="AT76" s="39" t="s">
        <v>297</v>
      </c>
      <c r="AU76" s="43">
        <v>44985</v>
      </c>
      <c r="AV76" s="39" t="s">
        <v>727</v>
      </c>
      <c r="AW76" s="43">
        <v>44977</v>
      </c>
      <c r="AX76" s="43">
        <v>45291</v>
      </c>
      <c r="AY76" s="39">
        <v>314</v>
      </c>
      <c r="AZ76" s="39" t="s">
        <v>92</v>
      </c>
      <c r="BA76" s="39">
        <v>19498970</v>
      </c>
      <c r="BB76" s="41"/>
      <c r="BC76" s="43"/>
      <c r="BD76" s="39"/>
      <c r="BE76" s="39"/>
      <c r="BF76" s="39"/>
      <c r="BG76" s="43"/>
      <c r="BH76" s="39"/>
      <c r="BI76" s="43"/>
      <c r="BJ76" s="41">
        <v>105000000</v>
      </c>
      <c r="BK76" s="39"/>
      <c r="BL76" s="43"/>
      <c r="BM76" s="43"/>
      <c r="BN76" s="39"/>
      <c r="BO76" s="39"/>
      <c r="BP76" s="43"/>
      <c r="BQ76" s="39"/>
      <c r="BR76" s="41"/>
      <c r="BS76" s="43"/>
      <c r="BT76" s="39">
        <v>314</v>
      </c>
      <c r="BU76" s="43"/>
      <c r="BV76" s="46"/>
    </row>
    <row r="77" spans="1:74" ht="15" customHeight="1" x14ac:dyDescent="0.25">
      <c r="A77" s="36" t="s">
        <v>459</v>
      </c>
      <c r="B77" s="37" t="s">
        <v>460</v>
      </c>
      <c r="C77" s="38" t="s">
        <v>54</v>
      </c>
      <c r="D77" s="39">
        <v>277</v>
      </c>
      <c r="E77" s="39" t="s">
        <v>345</v>
      </c>
      <c r="F77" s="39" t="s">
        <v>592</v>
      </c>
      <c r="G77" s="39" t="s">
        <v>593</v>
      </c>
      <c r="H77" s="39" t="s">
        <v>127</v>
      </c>
      <c r="I77" s="68">
        <v>44978</v>
      </c>
      <c r="J77" s="39" t="s">
        <v>1106</v>
      </c>
      <c r="K77" s="39" t="s">
        <v>730</v>
      </c>
      <c r="L77" s="39" t="s">
        <v>61</v>
      </c>
      <c r="M77" s="39" t="s">
        <v>594</v>
      </c>
      <c r="N77" s="39" t="s">
        <v>595</v>
      </c>
      <c r="O77" s="42" t="s">
        <v>596</v>
      </c>
      <c r="P77" s="41">
        <v>125000000</v>
      </c>
      <c r="Q77" s="41">
        <v>120963500</v>
      </c>
      <c r="R77" s="39">
        <v>14823</v>
      </c>
      <c r="S77" s="39" t="s">
        <v>597</v>
      </c>
      <c r="T77" s="39" t="s">
        <v>516</v>
      </c>
      <c r="U77" s="39" t="s">
        <v>517</v>
      </c>
      <c r="V77" s="39"/>
      <c r="W77" s="39"/>
      <c r="X77" s="39"/>
      <c r="Y77" s="40"/>
      <c r="Z77" s="39"/>
      <c r="AA77" s="39"/>
      <c r="AB77" s="39"/>
      <c r="AC77" s="39"/>
      <c r="AD77" s="213"/>
      <c r="AE77" s="39"/>
      <c r="AF77" s="39"/>
      <c r="AG77" s="39"/>
      <c r="AH77" s="39"/>
      <c r="AI77" s="39"/>
      <c r="AJ77" s="39"/>
      <c r="AK77" s="39"/>
      <c r="AL77" s="44" t="e">
        <f ca="1">+YEAR(TODAY())-YEAR([2]!Tabla1[[#This Row],[FECHA DE NACIMIENTO]])</f>
        <v>#REF!</v>
      </c>
      <c r="AM77" s="39"/>
      <c r="AN77" s="43"/>
      <c r="AO77" s="41"/>
      <c r="AP77" s="39"/>
      <c r="AQ77" s="39"/>
      <c r="AR77" s="39"/>
      <c r="AS77" s="69"/>
      <c r="AT77" s="39"/>
      <c r="AU77" s="43"/>
      <c r="AV77" s="39"/>
      <c r="AW77" s="43"/>
      <c r="AX77" s="43"/>
      <c r="AY77" s="38">
        <f>(AX77-AW77)</f>
        <v>0</v>
      </c>
      <c r="AZ77" s="39"/>
      <c r="BA77" s="39"/>
      <c r="BB77" s="41"/>
      <c r="BC77" s="43"/>
      <c r="BD77" s="39"/>
      <c r="BE77" s="39"/>
      <c r="BF77" s="39"/>
      <c r="BG77" s="43"/>
      <c r="BH77" s="39"/>
      <c r="BI77" s="43"/>
      <c r="BJ77" s="41" t="e">
        <f>([2]!Tabla1[[#This Row],[VALOR TOTAL CONTRATO + VF]]+[2]!Tabla1[[#This Row],[ADICION 1 ]]+[2]!Tabla1[[#This Row],[ADICION 2]]-[2]!Tabla1[[#This Row],[LIBERACION]])</f>
        <v>#REF!</v>
      </c>
      <c r="BK77" s="39"/>
      <c r="BL77" s="43"/>
      <c r="BM77" s="43"/>
      <c r="BN77" s="39"/>
      <c r="BO77" s="39"/>
      <c r="BP77" s="43"/>
      <c r="BQ77" s="39"/>
      <c r="BR77" s="41"/>
      <c r="BS77" s="43"/>
      <c r="BT77" s="39">
        <f>SUM(AY77+BK77+BN77+BQ77)</f>
        <v>0</v>
      </c>
      <c r="BU77" s="43"/>
      <c r="BV77" s="46"/>
    </row>
    <row r="78" spans="1:74" ht="15" customHeight="1" x14ac:dyDescent="0.25">
      <c r="A78" s="36" t="s">
        <v>459</v>
      </c>
      <c r="B78" s="37" t="s">
        <v>460</v>
      </c>
      <c r="C78" s="38" t="s">
        <v>54</v>
      </c>
      <c r="D78" s="42">
        <v>27</v>
      </c>
      <c r="E78" s="39" t="s">
        <v>221</v>
      </c>
      <c r="F78" s="42" t="s">
        <v>510</v>
      </c>
      <c r="G78" s="39" t="s">
        <v>511</v>
      </c>
      <c r="H78" s="39" t="s">
        <v>127</v>
      </c>
      <c r="I78" s="68">
        <v>44979</v>
      </c>
      <c r="J78" s="42" t="s">
        <v>59</v>
      </c>
      <c r="K78" s="42" t="s">
        <v>330</v>
      </c>
      <c r="L78" s="39" t="s">
        <v>166</v>
      </c>
      <c r="M78" s="39" t="s">
        <v>512</v>
      </c>
      <c r="N78" s="39" t="s">
        <v>513</v>
      </c>
      <c r="O78" s="39" t="s">
        <v>514</v>
      </c>
      <c r="P78" s="50">
        <v>36890000</v>
      </c>
      <c r="Q78" s="50">
        <v>36890000</v>
      </c>
      <c r="R78" s="39">
        <v>22123</v>
      </c>
      <c r="S78" s="39" t="s">
        <v>515</v>
      </c>
      <c r="T78" s="39" t="s">
        <v>64</v>
      </c>
      <c r="U78" s="39" t="s">
        <v>65</v>
      </c>
      <c r="V78" s="39"/>
      <c r="W78" s="39" t="s">
        <v>889</v>
      </c>
      <c r="X78" s="39" t="s">
        <v>769</v>
      </c>
      <c r="Y78" s="68">
        <v>44994</v>
      </c>
      <c r="Z78" s="39" t="s">
        <v>890</v>
      </c>
      <c r="AA78" s="39"/>
      <c r="AB78" s="39" t="s">
        <v>68</v>
      </c>
      <c r="AC78" s="39" t="s">
        <v>69</v>
      </c>
      <c r="AD78" s="213" t="s">
        <v>891</v>
      </c>
      <c r="AE78" s="39">
        <v>830041326</v>
      </c>
      <c r="AF78" s="39">
        <v>2</v>
      </c>
      <c r="AG78" s="42" t="s">
        <v>517</v>
      </c>
      <c r="AH78" s="39" t="s">
        <v>297</v>
      </c>
      <c r="AI78" s="39" t="s">
        <v>465</v>
      </c>
      <c r="AJ78" s="51" t="s">
        <v>888</v>
      </c>
      <c r="AK78" s="44" t="s">
        <v>517</v>
      </c>
      <c r="AL78" s="44" t="s">
        <v>517</v>
      </c>
      <c r="AM78" s="39">
        <v>53123</v>
      </c>
      <c r="AN78" s="68">
        <v>44995</v>
      </c>
      <c r="AO78" s="41">
        <v>36890000</v>
      </c>
      <c r="AP78" s="39"/>
      <c r="AQ78" s="39"/>
      <c r="AR78" s="39"/>
      <c r="AS78" s="41">
        <v>36890000</v>
      </c>
      <c r="AT78" s="39" t="s">
        <v>478</v>
      </c>
      <c r="AU78" s="42" t="s">
        <v>517</v>
      </c>
      <c r="AV78" s="42" t="s">
        <v>517</v>
      </c>
      <c r="AW78" s="68">
        <v>44995</v>
      </c>
      <c r="AX78" s="68">
        <v>45209</v>
      </c>
      <c r="AY78" s="38">
        <f>(AX78-AW78)</f>
        <v>214</v>
      </c>
      <c r="AZ78" s="39" t="s">
        <v>172</v>
      </c>
      <c r="BA78" s="39">
        <v>79279880</v>
      </c>
      <c r="BB78" s="41"/>
      <c r="BC78" s="43"/>
      <c r="BD78" s="39"/>
      <c r="BE78" s="39"/>
      <c r="BF78" s="39"/>
      <c r="BG78" s="43"/>
      <c r="BH78" s="39"/>
      <c r="BI78" s="43"/>
      <c r="BJ78" s="41" t="e">
        <f>([3]!Tabla1[[#This Row],[VALOR TOTAL CONTRATO + VF]]+[3]!Tabla1[[#This Row],[ADICION 1 ]]+[3]!Tabla1[[#This Row],[ADICION 2]]-[3]!Tabla1[[#This Row],[LIBERACION]])</f>
        <v>#REF!</v>
      </c>
      <c r="BK78" s="39"/>
      <c r="BL78" s="43"/>
      <c r="BM78" s="43"/>
      <c r="BN78" s="39"/>
      <c r="BO78" s="39"/>
      <c r="BP78" s="43"/>
      <c r="BQ78" s="39"/>
      <c r="BR78" s="41"/>
      <c r="BS78" s="43"/>
      <c r="BT78" s="39">
        <f>SUM(AY78+BK78+BN78+BQ78)</f>
        <v>214</v>
      </c>
      <c r="BU78" s="43"/>
      <c r="BV78" s="46"/>
    </row>
    <row r="79" spans="1:74" ht="15" customHeight="1" x14ac:dyDescent="0.25">
      <c r="A79" s="36" t="s">
        <v>459</v>
      </c>
      <c r="B79" s="37" t="s">
        <v>669</v>
      </c>
      <c r="C79" s="38" t="s">
        <v>54</v>
      </c>
      <c r="D79" s="39">
        <v>60</v>
      </c>
      <c r="E79" s="39" t="s">
        <v>344</v>
      </c>
      <c r="F79" s="39" t="s">
        <v>670</v>
      </c>
      <c r="G79" s="39" t="s">
        <v>671</v>
      </c>
      <c r="H79" s="39" t="s">
        <v>127</v>
      </c>
      <c r="I79" s="68">
        <v>44980</v>
      </c>
      <c r="J79" s="39" t="s">
        <v>59</v>
      </c>
      <c r="K79" s="39" t="s">
        <v>60</v>
      </c>
      <c r="L79" s="39" t="s">
        <v>225</v>
      </c>
      <c r="M79" s="39" t="s">
        <v>672</v>
      </c>
      <c r="N79" s="39" t="s">
        <v>673</v>
      </c>
      <c r="O79" s="42" t="s">
        <v>674</v>
      </c>
      <c r="P79" s="41">
        <v>105000000</v>
      </c>
      <c r="Q79" s="41">
        <v>105000000</v>
      </c>
      <c r="R79" s="39">
        <v>22323</v>
      </c>
      <c r="S79" s="39" t="s">
        <v>89</v>
      </c>
      <c r="T79" s="39" t="s">
        <v>64</v>
      </c>
      <c r="U79" s="39" t="s">
        <v>65</v>
      </c>
      <c r="V79" s="39"/>
      <c r="W79" s="39" t="s">
        <v>675</v>
      </c>
      <c r="X79" s="39" t="s">
        <v>127</v>
      </c>
      <c r="Y79" s="40">
        <v>44979</v>
      </c>
      <c r="Z79" s="39" t="s">
        <v>67</v>
      </c>
      <c r="AA79" s="39"/>
      <c r="AB79" s="39" t="s">
        <v>68</v>
      </c>
      <c r="AC79" s="39" t="s">
        <v>69</v>
      </c>
      <c r="AD79" s="213" t="s">
        <v>676</v>
      </c>
      <c r="AE79" s="39">
        <v>94460645</v>
      </c>
      <c r="AF79" s="39"/>
      <c r="AG79" s="39"/>
      <c r="AH79" s="39"/>
      <c r="AI79" s="39"/>
      <c r="AJ79" s="39"/>
      <c r="AK79" s="39"/>
      <c r="AL79" s="44">
        <v>123</v>
      </c>
      <c r="AM79" s="39">
        <v>41923</v>
      </c>
      <c r="AN79" s="43">
        <v>44972</v>
      </c>
      <c r="AO79" s="41">
        <v>105000000</v>
      </c>
      <c r="AP79" s="39"/>
      <c r="AQ79" s="39"/>
      <c r="AR79" s="39"/>
      <c r="AS79" s="45">
        <f>SUM(AO79+AP79+AQ79+AR79)</f>
        <v>105000000</v>
      </c>
      <c r="AT79" s="39" t="s">
        <v>297</v>
      </c>
      <c r="AU79" s="43">
        <v>44982</v>
      </c>
      <c r="AV79" s="39" t="s">
        <v>677</v>
      </c>
      <c r="AW79" s="43">
        <v>44979</v>
      </c>
      <c r="AX79" s="43">
        <v>45291</v>
      </c>
      <c r="AY79" s="38">
        <v>312</v>
      </c>
      <c r="AZ79" s="39" t="s">
        <v>92</v>
      </c>
      <c r="BA79" s="39">
        <v>19498970</v>
      </c>
      <c r="BB79" s="41"/>
      <c r="BC79" s="43"/>
      <c r="BD79" s="39"/>
      <c r="BE79" s="39"/>
      <c r="BF79" s="39"/>
      <c r="BG79" s="43"/>
      <c r="BH79" s="39"/>
      <c r="BI79" s="43"/>
      <c r="BJ79" s="41">
        <v>105000000</v>
      </c>
      <c r="BK79" s="39"/>
      <c r="BL79" s="43"/>
      <c r="BM79" s="43"/>
      <c r="BN79" s="39"/>
      <c r="BO79" s="39"/>
      <c r="BP79" s="43"/>
      <c r="BQ79" s="39"/>
      <c r="BR79" s="41"/>
      <c r="BS79" s="43"/>
      <c r="BT79" s="39">
        <v>312</v>
      </c>
      <c r="BU79" s="43"/>
      <c r="BV79" s="46"/>
    </row>
    <row r="80" spans="1:74" ht="15" customHeight="1" x14ac:dyDescent="0.25">
      <c r="A80" s="36" t="s">
        <v>459</v>
      </c>
      <c r="B80" s="37" t="s">
        <v>687</v>
      </c>
      <c r="C80" s="38" t="s">
        <v>54</v>
      </c>
      <c r="D80" s="39">
        <v>65</v>
      </c>
      <c r="E80" s="39" t="s">
        <v>344</v>
      </c>
      <c r="F80" s="67" t="s">
        <v>688</v>
      </c>
      <c r="G80" s="39" t="s">
        <v>689</v>
      </c>
      <c r="H80" s="39" t="s">
        <v>127</v>
      </c>
      <c r="I80" s="68">
        <v>44980</v>
      </c>
      <c r="J80" s="39" t="s">
        <v>59</v>
      </c>
      <c r="K80" s="39" t="s">
        <v>60</v>
      </c>
      <c r="L80" s="39" t="s">
        <v>225</v>
      </c>
      <c r="M80" s="67" t="s">
        <v>690</v>
      </c>
      <c r="N80" s="39" t="s">
        <v>691</v>
      </c>
      <c r="O80" s="42" t="s">
        <v>692</v>
      </c>
      <c r="P80" s="41">
        <v>80000000</v>
      </c>
      <c r="Q80" s="41">
        <v>80000000</v>
      </c>
      <c r="R80" s="39">
        <v>20023</v>
      </c>
      <c r="S80" s="39" t="s">
        <v>89</v>
      </c>
      <c r="T80" s="39" t="s">
        <v>64</v>
      </c>
      <c r="U80" s="39" t="s">
        <v>65</v>
      </c>
      <c r="V80" s="39"/>
      <c r="W80" s="39" t="s">
        <v>693</v>
      </c>
      <c r="X80" s="39" t="s">
        <v>127</v>
      </c>
      <c r="Y80" s="40">
        <v>44979</v>
      </c>
      <c r="Z80" s="39" t="s">
        <v>67</v>
      </c>
      <c r="AA80" s="39"/>
      <c r="AB80" s="39" t="s">
        <v>68</v>
      </c>
      <c r="AC80" s="39" t="s">
        <v>69</v>
      </c>
      <c r="AD80" s="213" t="s">
        <v>694</v>
      </c>
      <c r="AE80" s="39">
        <v>1014211359</v>
      </c>
      <c r="AF80" s="39"/>
      <c r="AG80" s="39"/>
      <c r="AH80" s="39"/>
      <c r="AI80" s="39"/>
      <c r="AJ80" s="39"/>
      <c r="AK80" s="39"/>
      <c r="AL80" s="44">
        <v>123</v>
      </c>
      <c r="AM80" s="39">
        <v>41523</v>
      </c>
      <c r="AN80" s="43">
        <v>44980</v>
      </c>
      <c r="AO80" s="41">
        <v>80000000</v>
      </c>
      <c r="AP80" s="39"/>
      <c r="AQ80" s="39"/>
      <c r="AR80" s="39"/>
      <c r="AS80" s="45">
        <f>SUM(AO80+AP80+AQ80+AR80)</f>
        <v>80000000</v>
      </c>
      <c r="AT80" s="39" t="s">
        <v>297</v>
      </c>
      <c r="AU80" s="43">
        <v>44980</v>
      </c>
      <c r="AV80" s="39" t="s">
        <v>695</v>
      </c>
      <c r="AW80" s="43">
        <v>44979</v>
      </c>
      <c r="AX80" s="43">
        <v>45291</v>
      </c>
      <c r="AY80" s="39">
        <v>312</v>
      </c>
      <c r="AZ80" s="39" t="s">
        <v>92</v>
      </c>
      <c r="BA80" s="39">
        <v>19498970</v>
      </c>
      <c r="BB80" s="41"/>
      <c r="BC80" s="43"/>
      <c r="BD80" s="39"/>
      <c r="BE80" s="39"/>
      <c r="BF80" s="39"/>
      <c r="BG80" s="43"/>
      <c r="BH80" s="39"/>
      <c r="BI80" s="43"/>
      <c r="BJ80" s="41">
        <v>80000000</v>
      </c>
      <c r="BK80" s="39"/>
      <c r="BL80" s="43"/>
      <c r="BM80" s="43"/>
      <c r="BN80" s="39"/>
      <c r="BO80" s="39"/>
      <c r="BP80" s="43"/>
      <c r="BQ80" s="39"/>
      <c r="BR80" s="41"/>
      <c r="BS80" s="43"/>
      <c r="BT80" s="39">
        <v>312</v>
      </c>
      <c r="BU80" s="43"/>
      <c r="BV80" s="46"/>
    </row>
    <row r="81" spans="1:74" ht="15" customHeight="1" x14ac:dyDescent="0.25">
      <c r="A81" s="36" t="s">
        <v>459</v>
      </c>
      <c r="B81" s="37" t="s">
        <v>704</v>
      </c>
      <c r="C81" s="38" t="s">
        <v>54</v>
      </c>
      <c r="D81" s="39">
        <v>68</v>
      </c>
      <c r="E81" s="39" t="s">
        <v>344</v>
      </c>
      <c r="F81" s="67" t="s">
        <v>705</v>
      </c>
      <c r="G81" s="39" t="s">
        <v>706</v>
      </c>
      <c r="H81" s="39" t="s">
        <v>127</v>
      </c>
      <c r="I81" s="68">
        <v>44980</v>
      </c>
      <c r="J81" s="39" t="s">
        <v>59</v>
      </c>
      <c r="K81" s="39" t="s">
        <v>60</v>
      </c>
      <c r="L81" s="39" t="s">
        <v>225</v>
      </c>
      <c r="M81" s="67" t="s">
        <v>707</v>
      </c>
      <c r="N81" s="39" t="s">
        <v>708</v>
      </c>
      <c r="O81" s="42" t="s">
        <v>709</v>
      </c>
      <c r="P81" s="41">
        <v>84000000</v>
      </c>
      <c r="Q81" s="41">
        <v>84000000</v>
      </c>
      <c r="R81" s="39">
        <v>22623</v>
      </c>
      <c r="S81" s="39" t="s">
        <v>89</v>
      </c>
      <c r="T81" s="39" t="s">
        <v>64</v>
      </c>
      <c r="U81" s="39" t="s">
        <v>65</v>
      </c>
      <c r="V81" s="39"/>
      <c r="W81" s="39" t="s">
        <v>710</v>
      </c>
      <c r="X81" s="39" t="s">
        <v>127</v>
      </c>
      <c r="Y81" s="40">
        <v>44979</v>
      </c>
      <c r="Z81" s="39" t="s">
        <v>67</v>
      </c>
      <c r="AA81" s="39"/>
      <c r="AB81" s="39" t="s">
        <v>68</v>
      </c>
      <c r="AC81" s="39" t="s">
        <v>69</v>
      </c>
      <c r="AD81" s="213" t="s">
        <v>711</v>
      </c>
      <c r="AE81" s="39">
        <v>1085298706</v>
      </c>
      <c r="AF81" s="39"/>
      <c r="AG81" s="39"/>
      <c r="AH81" s="39"/>
      <c r="AI81" s="39"/>
      <c r="AJ81" s="39"/>
      <c r="AK81" s="39"/>
      <c r="AL81" s="44">
        <v>123</v>
      </c>
      <c r="AM81" s="39">
        <v>41623</v>
      </c>
      <c r="AN81" s="43">
        <v>44980</v>
      </c>
      <c r="AO81" s="41">
        <v>84000000</v>
      </c>
      <c r="AP81" s="39"/>
      <c r="AQ81" s="39"/>
      <c r="AR81" s="39"/>
      <c r="AS81" s="45">
        <f>SUM(AO81+AP81+AQ81+AR81)</f>
        <v>84000000</v>
      </c>
      <c r="AT81" s="39" t="s">
        <v>297</v>
      </c>
      <c r="AU81" s="43">
        <v>44981</v>
      </c>
      <c r="AV81" s="39" t="s">
        <v>712</v>
      </c>
      <c r="AW81" s="43">
        <v>44979</v>
      </c>
      <c r="AX81" s="43">
        <v>45291</v>
      </c>
      <c r="AY81" s="39">
        <v>312</v>
      </c>
      <c r="AZ81" s="39" t="s">
        <v>92</v>
      </c>
      <c r="BA81" s="39">
        <v>19498970</v>
      </c>
      <c r="BB81" s="41"/>
      <c r="BC81" s="43"/>
      <c r="BD81" s="39"/>
      <c r="BE81" s="39"/>
      <c r="BF81" s="39"/>
      <c r="BG81" s="43"/>
      <c r="BH81" s="39"/>
      <c r="BI81" s="43"/>
      <c r="BJ81" s="41">
        <v>84000000</v>
      </c>
      <c r="BK81" s="39"/>
      <c r="BL81" s="43"/>
      <c r="BM81" s="43"/>
      <c r="BN81" s="39"/>
      <c r="BO81" s="39"/>
      <c r="BP81" s="43"/>
      <c r="BQ81" s="39"/>
      <c r="BR81" s="41"/>
      <c r="BS81" s="43"/>
      <c r="BT81" s="39">
        <v>312</v>
      </c>
      <c r="BU81" s="43"/>
      <c r="BV81" s="46"/>
    </row>
    <row r="82" spans="1:74" ht="15" customHeight="1" x14ac:dyDescent="0.25">
      <c r="A82" s="36" t="s">
        <v>459</v>
      </c>
      <c r="B82" s="37" t="s">
        <v>460</v>
      </c>
      <c r="C82" s="38" t="s">
        <v>54</v>
      </c>
      <c r="D82" s="42">
        <v>235</v>
      </c>
      <c r="E82" s="39" t="s">
        <v>221</v>
      </c>
      <c r="F82" s="70" t="s">
        <v>574</v>
      </c>
      <c r="G82" s="55" t="s">
        <v>575</v>
      </c>
      <c r="H82" s="39" t="s">
        <v>127</v>
      </c>
      <c r="I82" s="71">
        <v>44980</v>
      </c>
      <c r="J82" s="42" t="s">
        <v>59</v>
      </c>
      <c r="K82" s="39" t="s">
        <v>60</v>
      </c>
      <c r="L82" s="42" t="s">
        <v>334</v>
      </c>
      <c r="M82" s="67" t="s">
        <v>576</v>
      </c>
      <c r="N82" s="39" t="s">
        <v>577</v>
      </c>
      <c r="O82" s="39" t="s">
        <v>578</v>
      </c>
      <c r="P82" s="50">
        <v>34410000</v>
      </c>
      <c r="Q82" s="50">
        <v>34410000</v>
      </c>
      <c r="R82" s="42">
        <v>21123</v>
      </c>
      <c r="S82" s="39" t="s">
        <v>63</v>
      </c>
      <c r="T82" s="39" t="s">
        <v>64</v>
      </c>
      <c r="U82" s="39" t="s">
        <v>65</v>
      </c>
      <c r="V82" s="39"/>
      <c r="W82" s="55" t="s">
        <v>882</v>
      </c>
      <c r="X82" s="39" t="s">
        <v>769</v>
      </c>
      <c r="Y82" s="40">
        <v>45002</v>
      </c>
      <c r="Z82" s="39" t="s">
        <v>60</v>
      </c>
      <c r="AA82" s="42"/>
      <c r="AB82" s="39" t="s">
        <v>68</v>
      </c>
      <c r="AC82" s="39" t="s">
        <v>69</v>
      </c>
      <c r="AD82" s="213" t="s">
        <v>883</v>
      </c>
      <c r="AE82" s="39">
        <v>900422614</v>
      </c>
      <c r="AF82" s="42">
        <v>8</v>
      </c>
      <c r="AG82" s="42" t="s">
        <v>517</v>
      </c>
      <c r="AH82" s="39" t="s">
        <v>551</v>
      </c>
      <c r="AI82" s="39" t="s">
        <v>467</v>
      </c>
      <c r="AJ82" s="39" t="s">
        <v>884</v>
      </c>
      <c r="AK82" s="44" t="s">
        <v>517</v>
      </c>
      <c r="AL82" s="44" t="s">
        <v>517</v>
      </c>
      <c r="AM82" s="39">
        <v>59323</v>
      </c>
      <c r="AN82" s="68">
        <v>45007</v>
      </c>
      <c r="AO82" s="50">
        <v>34410000</v>
      </c>
      <c r="AP82" s="42"/>
      <c r="AQ82" s="53"/>
      <c r="AR82" s="42"/>
      <c r="AS82" s="50">
        <v>34410000</v>
      </c>
      <c r="AT82" s="39" t="s">
        <v>478</v>
      </c>
      <c r="AU82" s="42" t="s">
        <v>517</v>
      </c>
      <c r="AV82" s="42" t="s">
        <v>517</v>
      </c>
      <c r="AW82" s="68">
        <v>45007</v>
      </c>
      <c r="AX82" s="68">
        <v>45291</v>
      </c>
      <c r="AY82" s="39">
        <f>(AX82-AW82)</f>
        <v>284</v>
      </c>
      <c r="AZ82" s="50" t="s">
        <v>885</v>
      </c>
      <c r="BA82" s="39">
        <v>88237021</v>
      </c>
      <c r="BB82" s="50"/>
      <c r="BC82" s="55"/>
      <c r="BD82" s="42"/>
      <c r="BE82" s="55"/>
      <c r="BF82" s="42"/>
      <c r="BG82" s="55"/>
      <c r="BH82" s="50"/>
      <c r="BI82" s="55"/>
      <c r="BJ82" s="41" t="e">
        <f>([3]!Tabla1[[#This Row],[VALOR TOTAL CONTRATO + VF]]+[3]!Tabla1[[#This Row],[ADICION 1 ]]+[3]!Tabla1[[#This Row],[ADICION 2]]-[3]!Tabla1[[#This Row],[LIBERACION]])</f>
        <v>#REF!</v>
      </c>
      <c r="BK82" s="55"/>
      <c r="BL82" s="55"/>
      <c r="BM82" s="55"/>
      <c r="BN82" s="55"/>
      <c r="BO82" s="42"/>
      <c r="BP82" s="55"/>
      <c r="BQ82" s="55"/>
      <c r="BR82" s="50"/>
      <c r="BS82" s="55"/>
      <c r="BT82" s="39">
        <f>SUM(AY82+BK82+BN82+BQ82)</f>
        <v>284</v>
      </c>
      <c r="BU82" s="55"/>
      <c r="BV82" s="54"/>
    </row>
    <row r="83" spans="1:74" ht="15" customHeight="1" x14ac:dyDescent="0.25">
      <c r="A83" s="36" t="s">
        <v>459</v>
      </c>
      <c r="B83" s="37" t="s">
        <v>460</v>
      </c>
      <c r="C83" s="38" t="s">
        <v>54</v>
      </c>
      <c r="D83" s="39">
        <v>72</v>
      </c>
      <c r="E83" s="39" t="s">
        <v>55</v>
      </c>
      <c r="F83" s="67" t="s">
        <v>487</v>
      </c>
      <c r="G83" s="39" t="s">
        <v>488</v>
      </c>
      <c r="H83" s="39" t="s">
        <v>127</v>
      </c>
      <c r="I83" s="68">
        <v>44981</v>
      </c>
      <c r="J83" s="39" t="s">
        <v>59</v>
      </c>
      <c r="K83" s="42" t="s">
        <v>330</v>
      </c>
      <c r="L83" s="39" t="s">
        <v>225</v>
      </c>
      <c r="M83" s="3" t="s">
        <v>1397</v>
      </c>
      <c r="N83" s="196">
        <v>43231600</v>
      </c>
      <c r="O83" s="42" t="s">
        <v>489</v>
      </c>
      <c r="P83" s="41">
        <v>614700000</v>
      </c>
      <c r="Q83" s="41">
        <v>429942610</v>
      </c>
      <c r="R83" s="39">
        <v>22823</v>
      </c>
      <c r="S83" s="39" t="s">
        <v>89</v>
      </c>
      <c r="T83" s="39" t="s">
        <v>64</v>
      </c>
      <c r="U83" s="39" t="s">
        <v>65</v>
      </c>
      <c r="V83" s="39"/>
      <c r="W83" s="39" t="s">
        <v>812</v>
      </c>
      <c r="X83" s="39" t="s">
        <v>769</v>
      </c>
      <c r="Y83" s="68">
        <v>45009</v>
      </c>
      <c r="Z83" s="39" t="s">
        <v>813</v>
      </c>
      <c r="AA83" s="39"/>
      <c r="AB83" s="39" t="s">
        <v>68</v>
      </c>
      <c r="AC83" s="39" t="s">
        <v>69</v>
      </c>
      <c r="AD83" s="213" t="s">
        <v>814</v>
      </c>
      <c r="AE83" s="39">
        <v>830042244</v>
      </c>
      <c r="AF83" s="39">
        <v>1</v>
      </c>
      <c r="AG83" s="39"/>
      <c r="AH83" s="39"/>
      <c r="AI83" s="39"/>
      <c r="AJ83" s="39"/>
      <c r="AK83" s="39"/>
      <c r="AL83" s="44"/>
      <c r="AM83" s="39">
        <v>61623</v>
      </c>
      <c r="AN83" s="43">
        <v>45012</v>
      </c>
      <c r="AO83" s="41">
        <v>429942199.07999998</v>
      </c>
      <c r="AP83" s="39"/>
      <c r="AQ83" s="39"/>
      <c r="AR83" s="39"/>
      <c r="AS83" s="45">
        <v>429942199.07999998</v>
      </c>
      <c r="AT83" s="39" t="s">
        <v>75</v>
      </c>
      <c r="AU83" s="68">
        <v>45009</v>
      </c>
      <c r="AV83" s="39" t="s">
        <v>74</v>
      </c>
      <c r="AW83" s="43">
        <v>45014</v>
      </c>
      <c r="AX83" s="68">
        <v>45291</v>
      </c>
      <c r="AY83" s="38">
        <f>(AX83-AW83)</f>
        <v>277</v>
      </c>
      <c r="AZ83" s="39" t="s">
        <v>92</v>
      </c>
      <c r="BA83" s="39">
        <v>19498970</v>
      </c>
      <c r="BB83" s="41"/>
      <c r="BC83" s="43"/>
      <c r="BD83" s="39"/>
      <c r="BE83" s="39"/>
      <c r="BF83" s="39"/>
      <c r="BG83" s="43"/>
      <c r="BH83" s="39"/>
      <c r="BI83" s="43"/>
      <c r="BJ83" s="41"/>
      <c r="BK83" s="39"/>
      <c r="BL83" s="43"/>
      <c r="BM83" s="43"/>
      <c r="BN83" s="39"/>
      <c r="BO83" s="39"/>
      <c r="BP83" s="43"/>
      <c r="BQ83" s="39"/>
      <c r="BR83" s="41"/>
      <c r="BS83" s="43"/>
      <c r="BT83" s="39"/>
      <c r="BU83" s="43"/>
      <c r="BV83" s="46"/>
    </row>
    <row r="84" spans="1:74" ht="15" customHeight="1" x14ac:dyDescent="0.25">
      <c r="A84" s="36" t="s">
        <v>459</v>
      </c>
      <c r="B84" s="37" t="s">
        <v>460</v>
      </c>
      <c r="C84" s="38" t="s">
        <v>54</v>
      </c>
      <c r="D84" s="39">
        <v>10</v>
      </c>
      <c r="E84" s="39" t="s">
        <v>765</v>
      </c>
      <c r="F84" s="67" t="s">
        <v>628</v>
      </c>
      <c r="G84" s="39" t="s">
        <v>629</v>
      </c>
      <c r="H84" s="39" t="s">
        <v>127</v>
      </c>
      <c r="I84" s="40">
        <v>44981</v>
      </c>
      <c r="J84" s="39" t="s">
        <v>59</v>
      </c>
      <c r="K84" s="39" t="s">
        <v>60</v>
      </c>
      <c r="L84" s="39" t="s">
        <v>150</v>
      </c>
      <c r="M84" s="67" t="s">
        <v>630</v>
      </c>
      <c r="N84" s="39">
        <v>80161500</v>
      </c>
      <c r="O84" s="39" t="s">
        <v>631</v>
      </c>
      <c r="P84" s="41">
        <v>36750000</v>
      </c>
      <c r="Q84" s="41">
        <v>36750000</v>
      </c>
      <c r="R84" s="39">
        <v>22223</v>
      </c>
      <c r="S84" s="39" t="s">
        <v>349</v>
      </c>
      <c r="T84" s="39" t="s">
        <v>64</v>
      </c>
      <c r="U84" s="39" t="s">
        <v>65</v>
      </c>
      <c r="V84" s="39"/>
      <c r="W84" s="39" t="s">
        <v>614</v>
      </c>
      <c r="X84" s="39" t="s">
        <v>632</v>
      </c>
      <c r="Y84" s="40">
        <v>44987</v>
      </c>
      <c r="Z84" s="39" t="s">
        <v>67</v>
      </c>
      <c r="AA84" s="39"/>
      <c r="AB84" s="39" t="s">
        <v>68</v>
      </c>
      <c r="AC84" s="39" t="s">
        <v>69</v>
      </c>
      <c r="AD84" s="213" t="s">
        <v>633</v>
      </c>
      <c r="AE84" s="39">
        <v>1020831517</v>
      </c>
      <c r="AF84" s="39"/>
      <c r="AG84" s="39" t="s">
        <v>634</v>
      </c>
      <c r="AH84" s="39" t="s">
        <v>551</v>
      </c>
      <c r="AI84" s="39"/>
      <c r="AJ84" s="39"/>
      <c r="AK84" s="39">
        <v>35883</v>
      </c>
      <c r="AL84" s="44">
        <f ca="1">+YEAR(TODAY())-YEAR(AK84)</f>
        <v>25</v>
      </c>
      <c r="AM84" s="39">
        <v>43223</v>
      </c>
      <c r="AN84" s="40">
        <v>44985</v>
      </c>
      <c r="AO84" s="41">
        <v>36750000</v>
      </c>
      <c r="AP84" s="39"/>
      <c r="AQ84" s="39"/>
      <c r="AR84" s="39"/>
      <c r="AS84" s="45">
        <f>SUM(AO84+AP84+AQ84+AR84)</f>
        <v>36750000</v>
      </c>
      <c r="AT84" s="39" t="s">
        <v>297</v>
      </c>
      <c r="AU84" s="40">
        <v>44984</v>
      </c>
      <c r="AV84" s="39" t="s">
        <v>74</v>
      </c>
      <c r="AW84" s="40">
        <v>44985</v>
      </c>
      <c r="AX84" s="40">
        <v>45291</v>
      </c>
      <c r="AY84" s="38">
        <f>(AX84-AW84)</f>
        <v>306</v>
      </c>
      <c r="AZ84" s="39" t="s">
        <v>156</v>
      </c>
      <c r="BA84" s="39">
        <v>79276876</v>
      </c>
      <c r="BB84" s="41"/>
      <c r="BC84" s="43"/>
      <c r="BD84" s="39"/>
      <c r="BE84" s="39"/>
      <c r="BF84" s="39"/>
      <c r="BG84" s="43"/>
      <c r="BH84" s="39"/>
      <c r="BI84" s="43"/>
      <c r="BJ84" s="41">
        <v>36750000</v>
      </c>
      <c r="BK84" s="39"/>
      <c r="BL84" s="43"/>
      <c r="BM84" s="43"/>
      <c r="BN84" s="39"/>
      <c r="BO84" s="39"/>
      <c r="BP84" s="43"/>
      <c r="BQ84" s="39"/>
      <c r="BR84" s="41"/>
      <c r="BS84" s="43"/>
      <c r="BT84" s="39">
        <f>SUM(AY84+BK84+BN84+BQ84)</f>
        <v>306</v>
      </c>
      <c r="BU84" s="43"/>
      <c r="BV84" s="46"/>
    </row>
    <row r="85" spans="1:74" ht="15" customHeight="1" x14ac:dyDescent="0.25">
      <c r="A85" s="36" t="s">
        <v>459</v>
      </c>
      <c r="B85" s="37" t="s">
        <v>460</v>
      </c>
      <c r="C85" s="38" t="s">
        <v>54</v>
      </c>
      <c r="D85" s="39">
        <v>154</v>
      </c>
      <c r="E85" s="39" t="s">
        <v>765</v>
      </c>
      <c r="F85" s="39" t="s">
        <v>635</v>
      </c>
      <c r="G85" s="39" t="s">
        <v>636</v>
      </c>
      <c r="H85" s="39" t="s">
        <v>127</v>
      </c>
      <c r="I85" s="40">
        <v>44981</v>
      </c>
      <c r="J85" s="39" t="s">
        <v>59</v>
      </c>
      <c r="K85" s="39" t="s">
        <v>60</v>
      </c>
      <c r="L85" s="39" t="s">
        <v>766</v>
      </c>
      <c r="M85" s="39" t="s">
        <v>637</v>
      </c>
      <c r="N85" s="39">
        <v>80131502</v>
      </c>
      <c r="O85" s="39" t="s">
        <v>638</v>
      </c>
      <c r="P85" s="41">
        <v>88000000</v>
      </c>
      <c r="Q85" s="41">
        <v>88000000</v>
      </c>
      <c r="R85" s="39">
        <v>25423</v>
      </c>
      <c r="S85" s="39" t="s">
        <v>131</v>
      </c>
      <c r="T85" s="39" t="s">
        <v>64</v>
      </c>
      <c r="U85" s="39" t="s">
        <v>65</v>
      </c>
      <c r="V85" s="39"/>
      <c r="W85" s="39" t="s">
        <v>639</v>
      </c>
      <c r="X85" s="39" t="s">
        <v>632</v>
      </c>
      <c r="Y85" s="40">
        <v>44987</v>
      </c>
      <c r="Z85" s="39" t="s">
        <v>128</v>
      </c>
      <c r="AA85" s="39"/>
      <c r="AB85" s="39" t="s">
        <v>68</v>
      </c>
      <c r="AC85" s="39" t="s">
        <v>69</v>
      </c>
      <c r="AD85" s="213" t="s">
        <v>640</v>
      </c>
      <c r="AE85" s="39">
        <v>890505046</v>
      </c>
      <c r="AF85" s="39"/>
      <c r="AG85" s="39" t="s">
        <v>517</v>
      </c>
      <c r="AH85" s="39" t="s">
        <v>551</v>
      </c>
      <c r="AI85" s="39"/>
      <c r="AJ85" s="39"/>
      <c r="AK85" s="39"/>
      <c r="AL85" s="44">
        <f ca="1">+YEAR(TODAY())-YEAR(AK85)</f>
        <v>123</v>
      </c>
      <c r="AM85" s="39" t="s">
        <v>641</v>
      </c>
      <c r="AN85" s="40">
        <v>44986</v>
      </c>
      <c r="AO85" s="41">
        <v>88000000</v>
      </c>
      <c r="AP85" s="39"/>
      <c r="AQ85" s="39"/>
      <c r="AR85" s="39"/>
      <c r="AS85" s="45">
        <f>SUM(AO85+AP85+AQ85+AR85)</f>
        <v>88000000</v>
      </c>
      <c r="AT85" s="39" t="s">
        <v>551</v>
      </c>
      <c r="AU85" s="40" t="s">
        <v>517</v>
      </c>
      <c r="AV85" s="46" t="s">
        <v>517</v>
      </c>
      <c r="AW85" s="40">
        <v>44985</v>
      </c>
      <c r="AX85" s="40">
        <v>45291</v>
      </c>
      <c r="AY85" s="38">
        <f>(AX85-AW85)</f>
        <v>306</v>
      </c>
      <c r="AZ85" s="39" t="s">
        <v>642</v>
      </c>
      <c r="BA85" s="39">
        <v>88264550</v>
      </c>
      <c r="BB85" s="41"/>
      <c r="BC85" s="43"/>
      <c r="BD85" s="39"/>
      <c r="BE85" s="39"/>
      <c r="BF85" s="39"/>
      <c r="BG85" s="43"/>
      <c r="BH85" s="39"/>
      <c r="BI85" s="43"/>
      <c r="BJ85" s="41">
        <v>88000000</v>
      </c>
      <c r="BK85" s="39"/>
      <c r="BL85" s="43"/>
      <c r="BM85" s="43"/>
      <c r="BN85" s="39"/>
      <c r="BO85" s="39"/>
      <c r="BP85" s="43"/>
      <c r="BQ85" s="39"/>
      <c r="BR85" s="41"/>
      <c r="BS85" s="43"/>
      <c r="BT85" s="39">
        <f>SUM(AY85+BK85+BN85+BQ85)</f>
        <v>306</v>
      </c>
      <c r="BU85" s="43"/>
      <c r="BV85" s="46"/>
    </row>
    <row r="86" spans="1:74" ht="15" customHeight="1" x14ac:dyDescent="0.25">
      <c r="A86" s="36" t="s">
        <v>459</v>
      </c>
      <c r="B86" s="37" t="s">
        <v>460</v>
      </c>
      <c r="C86" s="38" t="s">
        <v>54</v>
      </c>
      <c r="D86" s="42">
        <v>62</v>
      </c>
      <c r="E86" s="39" t="s">
        <v>221</v>
      </c>
      <c r="F86" s="42" t="s">
        <v>522</v>
      </c>
      <c r="G86" s="39" t="s">
        <v>523</v>
      </c>
      <c r="H86" s="39" t="s">
        <v>127</v>
      </c>
      <c r="I86" s="68">
        <v>44981</v>
      </c>
      <c r="J86" s="42" t="s">
        <v>59</v>
      </c>
      <c r="K86" s="39" t="s">
        <v>60</v>
      </c>
      <c r="L86" s="39" t="s">
        <v>86</v>
      </c>
      <c r="M86" s="39" t="s">
        <v>524</v>
      </c>
      <c r="N86" s="39" t="s">
        <v>525</v>
      </c>
      <c r="O86" s="39" t="s">
        <v>526</v>
      </c>
      <c r="P86" s="50">
        <v>17100000</v>
      </c>
      <c r="Q86" s="50">
        <v>17100000</v>
      </c>
      <c r="R86" s="39">
        <v>20623</v>
      </c>
      <c r="S86" s="39" t="s">
        <v>89</v>
      </c>
      <c r="T86" s="39" t="s">
        <v>64</v>
      </c>
      <c r="U86" s="39" t="s">
        <v>65</v>
      </c>
      <c r="V86" s="39"/>
      <c r="W86" s="39" t="s">
        <v>894</v>
      </c>
      <c r="X86" s="39" t="s">
        <v>769</v>
      </c>
      <c r="Y86" s="68">
        <v>44986</v>
      </c>
      <c r="Z86" s="39" t="s">
        <v>67</v>
      </c>
      <c r="AA86" s="39"/>
      <c r="AB86" s="39" t="s">
        <v>68</v>
      </c>
      <c r="AC86" s="39" t="s">
        <v>69</v>
      </c>
      <c r="AD86" s="213" t="s">
        <v>895</v>
      </c>
      <c r="AE86" s="39">
        <v>900877941</v>
      </c>
      <c r="AF86" s="39">
        <v>4</v>
      </c>
      <c r="AG86" s="42" t="s">
        <v>517</v>
      </c>
      <c r="AH86" s="39" t="s">
        <v>551</v>
      </c>
      <c r="AI86" s="39" t="s">
        <v>467</v>
      </c>
      <c r="AJ86" s="72" t="s">
        <v>874</v>
      </c>
      <c r="AK86" s="44" t="s">
        <v>517</v>
      </c>
      <c r="AL86" s="44" t="s">
        <v>517</v>
      </c>
      <c r="AM86" s="39">
        <v>45823</v>
      </c>
      <c r="AN86" s="68">
        <v>44991</v>
      </c>
      <c r="AO86" s="41">
        <v>17062287</v>
      </c>
      <c r="AP86" s="39"/>
      <c r="AQ86" s="39"/>
      <c r="AR86" s="39"/>
      <c r="AS86" s="41">
        <v>17062287</v>
      </c>
      <c r="AT86" s="39" t="s">
        <v>75</v>
      </c>
      <c r="AU86" s="68">
        <v>44988</v>
      </c>
      <c r="AV86" s="46" t="s">
        <v>74</v>
      </c>
      <c r="AW86" s="68">
        <v>44991</v>
      </c>
      <c r="AX86" s="68">
        <v>45291</v>
      </c>
      <c r="AY86" s="38">
        <f>(AX86-AW86)</f>
        <v>300</v>
      </c>
      <c r="AZ86" s="39" t="s">
        <v>92</v>
      </c>
      <c r="BA86" s="39">
        <v>19498970</v>
      </c>
      <c r="BB86" s="41"/>
      <c r="BC86" s="43"/>
      <c r="BD86" s="39"/>
      <c r="BE86" s="39"/>
      <c r="BF86" s="39"/>
      <c r="BG86" s="43"/>
      <c r="BH86" s="39"/>
      <c r="BI86" s="43"/>
      <c r="BJ86" s="41" t="e">
        <f>([3]!Tabla1[[#This Row],[VALOR TOTAL CONTRATO + VF]]+[3]!Tabla1[[#This Row],[ADICION 1 ]]+[3]!Tabla1[[#This Row],[ADICION 2]]-[3]!Tabla1[[#This Row],[LIBERACION]])</f>
        <v>#REF!</v>
      </c>
      <c r="BK86" s="39"/>
      <c r="BL86" s="43"/>
      <c r="BM86" s="43"/>
      <c r="BN86" s="39"/>
      <c r="BO86" s="39"/>
      <c r="BP86" s="43"/>
      <c r="BQ86" s="39"/>
      <c r="BR86" s="41"/>
      <c r="BS86" s="43"/>
      <c r="BT86" s="39">
        <f>SUM(AY86+BK86+BN86+BQ86)</f>
        <v>300</v>
      </c>
      <c r="BU86" s="43"/>
      <c r="BV86" s="46"/>
    </row>
    <row r="87" spans="1:74" s="3" customFormat="1" ht="15" customHeight="1" x14ac:dyDescent="0.25">
      <c r="A87" s="14" t="s">
        <v>459</v>
      </c>
      <c r="B87" s="4" t="s">
        <v>460</v>
      </c>
      <c r="C87" s="7" t="s">
        <v>54</v>
      </c>
      <c r="D87" s="1">
        <v>199</v>
      </c>
      <c r="E87" s="3" t="s">
        <v>221</v>
      </c>
      <c r="F87" s="1" t="s">
        <v>541</v>
      </c>
      <c r="G87" s="3" t="s">
        <v>542</v>
      </c>
      <c r="H87" s="3" t="s">
        <v>127</v>
      </c>
      <c r="I87" s="23">
        <v>44981</v>
      </c>
      <c r="J87" s="3" t="s">
        <v>534</v>
      </c>
      <c r="K87" s="3" t="s">
        <v>60</v>
      </c>
      <c r="L87" s="3" t="s">
        <v>61</v>
      </c>
      <c r="M87" s="3" t="s">
        <v>543</v>
      </c>
      <c r="N87" s="3">
        <v>76111801</v>
      </c>
      <c r="O87" s="3" t="s">
        <v>544</v>
      </c>
      <c r="P87" s="2">
        <v>16325000</v>
      </c>
      <c r="Q87" s="2">
        <v>16325000</v>
      </c>
      <c r="R87" s="3">
        <v>20823</v>
      </c>
      <c r="S87" s="3" t="s">
        <v>500</v>
      </c>
      <c r="T87" s="3" t="s">
        <v>64</v>
      </c>
      <c r="U87" s="3" t="s">
        <v>65</v>
      </c>
      <c r="V87" s="3" t="s">
        <v>517</v>
      </c>
      <c r="W87" s="3" t="s">
        <v>886</v>
      </c>
      <c r="X87" s="3" t="s">
        <v>769</v>
      </c>
      <c r="Y87" s="23">
        <v>45007</v>
      </c>
      <c r="Z87" s="3" t="s">
        <v>67</v>
      </c>
      <c r="AB87" s="3" t="s">
        <v>68</v>
      </c>
      <c r="AC87" s="3" t="s">
        <v>69</v>
      </c>
      <c r="AD87" s="213" t="s">
        <v>887</v>
      </c>
      <c r="AE87" s="3">
        <v>800250589</v>
      </c>
      <c r="AF87" s="3">
        <v>1</v>
      </c>
      <c r="AG87" s="1" t="s">
        <v>517</v>
      </c>
      <c r="AH87" s="3" t="s">
        <v>297</v>
      </c>
      <c r="AI87" s="3" t="s">
        <v>465</v>
      </c>
      <c r="AJ87" s="202" t="s">
        <v>888</v>
      </c>
      <c r="AK87" s="10" t="s">
        <v>517</v>
      </c>
      <c r="AL87" s="10" t="s">
        <v>517</v>
      </c>
      <c r="AM87" s="3">
        <v>59623</v>
      </c>
      <c r="AN87" s="23">
        <v>45008</v>
      </c>
      <c r="AO87" s="8">
        <v>16325000</v>
      </c>
      <c r="AS87" s="8">
        <v>16325000</v>
      </c>
      <c r="AT87" s="3" t="s">
        <v>75</v>
      </c>
      <c r="AU87" s="23">
        <v>45013</v>
      </c>
      <c r="AV87" s="3" t="s">
        <v>1398</v>
      </c>
      <c r="AW87" s="23">
        <v>45028</v>
      </c>
      <c r="AX87" s="23">
        <v>45291</v>
      </c>
      <c r="AY87" s="7">
        <f t="shared" ref="AY87" si="5">(AX87-AW87)</f>
        <v>263</v>
      </c>
      <c r="AZ87" s="3" t="s">
        <v>1399</v>
      </c>
      <c r="BA87" s="3">
        <v>1018473221</v>
      </c>
      <c r="BB87" s="8"/>
      <c r="BC87" s="9"/>
      <c r="BG87" s="9"/>
      <c r="BI87" s="9"/>
      <c r="BJ87" s="8" t="e">
        <f>([5]!Tabla1[[#This Row],[VALOR TOTAL CONTRATO + VF]]+[5]!Tabla1[[#This Row],[ADICION 1 ]]+[5]!Tabla1[[#This Row],[ADICION 2]]-[5]!Tabla1[[#This Row],[LIBERACION]])</f>
        <v>#REF!</v>
      </c>
      <c r="BL87" s="9"/>
      <c r="BM87" s="9"/>
      <c r="BP87" s="9"/>
      <c r="BR87" s="8"/>
      <c r="BS87" s="9"/>
      <c r="BT87" s="3">
        <f t="shared" ref="BT87" si="6">SUM(AY87+BK87+BN87+BQ87)</f>
        <v>263</v>
      </c>
      <c r="BU87" s="9"/>
      <c r="BV87" s="12" t="s">
        <v>879</v>
      </c>
    </row>
    <row r="88" spans="1:74" s="212" customFormat="1" ht="15" customHeight="1" x14ac:dyDescent="0.25">
      <c r="A88" s="210" t="s">
        <v>459</v>
      </c>
      <c r="B88" s="210" t="s">
        <v>460</v>
      </c>
      <c r="C88" s="211" t="s">
        <v>54</v>
      </c>
      <c r="D88" s="212">
        <v>189</v>
      </c>
      <c r="E88" s="212" t="s">
        <v>55</v>
      </c>
      <c r="F88" s="212" t="s">
        <v>496</v>
      </c>
      <c r="G88" s="212" t="s">
        <v>497</v>
      </c>
      <c r="H88" s="213" t="s">
        <v>127</v>
      </c>
      <c r="I88" s="214">
        <v>44984</v>
      </c>
      <c r="J88" s="212" t="s">
        <v>492</v>
      </c>
      <c r="K88" s="212" t="s">
        <v>493</v>
      </c>
      <c r="L88" s="210" t="s">
        <v>340</v>
      </c>
      <c r="M88" s="212" t="s">
        <v>498</v>
      </c>
      <c r="N88" s="210">
        <v>40101700</v>
      </c>
      <c r="O88" s="215" t="s">
        <v>499</v>
      </c>
      <c r="P88" s="216">
        <v>120000000</v>
      </c>
      <c r="Q88" s="216">
        <v>120000000</v>
      </c>
      <c r="R88" s="212">
        <v>21423</v>
      </c>
      <c r="S88" s="210" t="s">
        <v>500</v>
      </c>
      <c r="T88" s="213" t="s">
        <v>64</v>
      </c>
      <c r="U88" s="213"/>
      <c r="W88" s="217" t="s">
        <v>1437</v>
      </c>
      <c r="X88" s="212" t="s">
        <v>1407</v>
      </c>
      <c r="Y88" s="218">
        <v>45042</v>
      </c>
      <c r="Z88" s="219" t="s">
        <v>1435</v>
      </c>
      <c r="AB88" s="213" t="s">
        <v>1438</v>
      </c>
      <c r="AC88" s="213" t="s">
        <v>1196</v>
      </c>
      <c r="AD88" s="213" t="s">
        <v>1439</v>
      </c>
      <c r="AE88" s="212">
        <v>900495749</v>
      </c>
      <c r="AF88" s="212">
        <v>6</v>
      </c>
      <c r="AH88" s="212" t="s">
        <v>551</v>
      </c>
      <c r="AK88" s="214"/>
      <c r="AL88" s="214"/>
      <c r="AM88" s="213">
        <v>82623</v>
      </c>
      <c r="AN88" s="214">
        <v>45050</v>
      </c>
      <c r="AO88" s="220">
        <v>120000000</v>
      </c>
      <c r="AQ88" s="221"/>
      <c r="AS88" s="220">
        <v>120000000</v>
      </c>
      <c r="AT88" s="219" t="s">
        <v>297</v>
      </c>
      <c r="AU88" s="214">
        <v>45044</v>
      </c>
      <c r="AV88" s="211" t="s">
        <v>74</v>
      </c>
      <c r="AW88" s="214">
        <v>45050</v>
      </c>
      <c r="AX88" s="222">
        <v>45291</v>
      </c>
      <c r="AY88" s="223">
        <f>(AX88-AW88)</f>
        <v>241</v>
      </c>
      <c r="AZ88" s="224" t="s">
        <v>1440</v>
      </c>
      <c r="BA88" s="224">
        <v>1018473221</v>
      </c>
      <c r="BE88" s="214"/>
      <c r="BG88" s="214"/>
      <c r="BH88" s="215"/>
      <c r="BJ88" s="214"/>
      <c r="BK88" s="214"/>
      <c r="BN88" s="214"/>
      <c r="BP88" s="215"/>
      <c r="BQ88" s="214"/>
      <c r="BS88" s="214"/>
    </row>
    <row r="89" spans="1:74" ht="15" customHeight="1" x14ac:dyDescent="0.25">
      <c r="A89" s="36" t="s">
        <v>459</v>
      </c>
      <c r="B89" s="37" t="s">
        <v>460</v>
      </c>
      <c r="C89" s="38" t="s">
        <v>54</v>
      </c>
      <c r="D89" s="39">
        <v>280</v>
      </c>
      <c r="E89" s="39" t="s">
        <v>409</v>
      </c>
      <c r="F89" s="67" t="s">
        <v>643</v>
      </c>
      <c r="G89" s="39" t="s">
        <v>644</v>
      </c>
      <c r="H89" s="39" t="s">
        <v>127</v>
      </c>
      <c r="I89" s="68">
        <v>44984</v>
      </c>
      <c r="J89" s="39" t="s">
        <v>534</v>
      </c>
      <c r="K89" s="39" t="s">
        <v>60</v>
      </c>
      <c r="L89" s="39" t="s">
        <v>61</v>
      </c>
      <c r="M89" s="67" t="s">
        <v>645</v>
      </c>
      <c r="N89" s="39" t="s">
        <v>646</v>
      </c>
      <c r="O89" s="42" t="s">
        <v>647</v>
      </c>
      <c r="P89" s="41">
        <v>52000000</v>
      </c>
      <c r="Q89" s="41">
        <v>52000000</v>
      </c>
      <c r="R89" s="39">
        <v>24523</v>
      </c>
      <c r="S89" s="39" t="s">
        <v>648</v>
      </c>
      <c r="T89" s="39" t="s">
        <v>133</v>
      </c>
      <c r="U89" s="39"/>
      <c r="V89" s="39"/>
      <c r="W89" s="39"/>
      <c r="X89" s="39"/>
      <c r="Y89" s="40"/>
      <c r="Z89" s="39"/>
      <c r="AA89" s="39"/>
      <c r="AB89" s="39" t="s">
        <v>68</v>
      </c>
      <c r="AC89" s="39" t="s">
        <v>69</v>
      </c>
      <c r="AD89" s="213"/>
      <c r="AE89" s="39"/>
      <c r="AF89" s="39"/>
      <c r="AG89" s="39"/>
      <c r="AH89" s="39"/>
      <c r="AI89" s="39"/>
      <c r="AJ89" s="39"/>
      <c r="AK89" s="39"/>
      <c r="AL89" s="44"/>
      <c r="AM89" s="39"/>
      <c r="AN89" s="43"/>
      <c r="AO89" s="41"/>
      <c r="AP89" s="39"/>
      <c r="AQ89" s="39"/>
      <c r="AR89" s="39"/>
      <c r="AS89" s="45">
        <f>SUM(AO89+AP89+AQ89+AR89)</f>
        <v>0</v>
      </c>
      <c r="AT89" s="39"/>
      <c r="AU89" s="43"/>
      <c r="AV89" s="39"/>
      <c r="AW89" s="43"/>
      <c r="AX89" s="43"/>
      <c r="AY89" s="39"/>
      <c r="AZ89" s="39"/>
      <c r="BA89" s="39"/>
      <c r="BB89" s="41"/>
      <c r="BC89" s="43"/>
      <c r="BD89" s="39"/>
      <c r="BE89" s="39"/>
      <c r="BF89" s="39"/>
      <c r="BG89" s="43"/>
      <c r="BH89" s="39"/>
      <c r="BI89" s="43"/>
      <c r="BJ89" s="41" t="e">
        <v>#VALUE!</v>
      </c>
      <c r="BK89" s="39"/>
      <c r="BL89" s="43"/>
      <c r="BM89" s="43"/>
      <c r="BN89" s="39"/>
      <c r="BO89" s="39"/>
      <c r="BP89" s="43"/>
      <c r="BQ89" s="39"/>
      <c r="BR89" s="41"/>
      <c r="BS89" s="43"/>
      <c r="BT89" s="39">
        <v>0</v>
      </c>
      <c r="BU89" s="43"/>
      <c r="BV89" s="46"/>
    </row>
    <row r="90" spans="1:74" s="212" customFormat="1" ht="15" customHeight="1" x14ac:dyDescent="0.25">
      <c r="A90" s="210" t="s">
        <v>459</v>
      </c>
      <c r="B90" s="210" t="s">
        <v>460</v>
      </c>
      <c r="C90" s="211" t="s">
        <v>54</v>
      </c>
      <c r="D90" s="212">
        <v>169</v>
      </c>
      <c r="E90" s="212" t="s">
        <v>55</v>
      </c>
      <c r="F90" s="212" t="s">
        <v>501</v>
      </c>
      <c r="G90" s="212" t="s">
        <v>502</v>
      </c>
      <c r="H90" s="213" t="s">
        <v>127</v>
      </c>
      <c r="I90" s="214">
        <v>44985</v>
      </c>
      <c r="J90" s="212" t="s">
        <v>503</v>
      </c>
      <c r="K90" s="212" t="s">
        <v>503</v>
      </c>
      <c r="L90" s="210" t="s">
        <v>340</v>
      </c>
      <c r="M90" s="212" t="s">
        <v>504</v>
      </c>
      <c r="N90" s="210">
        <v>84131500</v>
      </c>
      <c r="O90" s="215" t="s">
        <v>505</v>
      </c>
      <c r="P90" s="216">
        <v>2185740000</v>
      </c>
      <c r="Q90" s="216">
        <v>1267351148</v>
      </c>
      <c r="R90" s="212" t="s">
        <v>506</v>
      </c>
      <c r="S90" s="210" t="s">
        <v>507</v>
      </c>
      <c r="T90" s="213" t="s">
        <v>64</v>
      </c>
      <c r="U90" s="213"/>
      <c r="W90" s="217" t="s">
        <v>1441</v>
      </c>
      <c r="X90" s="212" t="s">
        <v>1407</v>
      </c>
      <c r="Y90" s="218">
        <v>45054</v>
      </c>
      <c r="Z90" s="219" t="s">
        <v>1442</v>
      </c>
      <c r="AB90" s="213" t="s">
        <v>68</v>
      </c>
      <c r="AC90" s="213" t="s">
        <v>1196</v>
      </c>
      <c r="AD90" s="213" t="s">
        <v>1443</v>
      </c>
      <c r="AE90" s="212">
        <v>860524654</v>
      </c>
      <c r="AF90" s="212">
        <v>6</v>
      </c>
      <c r="AH90" s="212" t="s">
        <v>551</v>
      </c>
      <c r="AK90" s="214"/>
      <c r="AL90" s="214"/>
      <c r="AM90" s="213" t="s">
        <v>1444</v>
      </c>
      <c r="AN90" s="214">
        <v>45055</v>
      </c>
      <c r="AO90" s="220">
        <v>680299918</v>
      </c>
      <c r="AP90" s="220">
        <v>527255824</v>
      </c>
      <c r="AQ90" s="221"/>
      <c r="AS90" s="220">
        <f>(Tabla13[[#This Row],[VALOR  2023]]+Tabla13[[#This Row],[VALOR VF 2024]])</f>
        <v>1207555742</v>
      </c>
      <c r="AT90" s="219" t="s">
        <v>551</v>
      </c>
      <c r="AU90" s="214"/>
      <c r="AV90" s="211"/>
      <c r="AW90" s="214">
        <v>45055</v>
      </c>
      <c r="AX90" s="222">
        <v>45597</v>
      </c>
      <c r="AY90" s="223">
        <f t="shared" ref="AY90" si="7">(AX90-AW90)</f>
        <v>542</v>
      </c>
      <c r="AZ90" s="224" t="s">
        <v>311</v>
      </c>
      <c r="BA90" s="224">
        <v>52452907</v>
      </c>
      <c r="BE90" s="214"/>
      <c r="BG90" s="214"/>
      <c r="BH90" s="215"/>
      <c r="BJ90" s="214"/>
      <c r="BK90" s="214"/>
      <c r="BN90" s="214"/>
      <c r="BP90" s="215"/>
      <c r="BQ90" s="214"/>
      <c r="BS90" s="214"/>
    </row>
    <row r="91" spans="1:74" s="212" customFormat="1" ht="15" customHeight="1" x14ac:dyDescent="0.25">
      <c r="A91" s="210" t="s">
        <v>459</v>
      </c>
      <c r="B91" s="210" t="s">
        <v>460</v>
      </c>
      <c r="C91" s="211" t="s">
        <v>54</v>
      </c>
      <c r="D91" s="212">
        <v>169</v>
      </c>
      <c r="E91" s="212" t="s">
        <v>55</v>
      </c>
      <c r="F91" s="212" t="s">
        <v>501</v>
      </c>
      <c r="G91" s="212" t="s">
        <v>502</v>
      </c>
      <c r="H91" s="213" t="s">
        <v>127</v>
      </c>
      <c r="I91" s="214">
        <v>44985</v>
      </c>
      <c r="J91" s="212" t="s">
        <v>503</v>
      </c>
      <c r="K91" s="212" t="s">
        <v>503</v>
      </c>
      <c r="L91" s="210" t="s">
        <v>340</v>
      </c>
      <c r="M91" s="212" t="s">
        <v>504</v>
      </c>
      <c r="N91" s="210">
        <v>84131500</v>
      </c>
      <c r="O91" s="215" t="s">
        <v>505</v>
      </c>
      <c r="P91" s="216">
        <v>2185740000</v>
      </c>
      <c r="Q91" s="216">
        <v>1267351148</v>
      </c>
      <c r="R91" s="212" t="s">
        <v>506</v>
      </c>
      <c r="S91" s="210" t="s">
        <v>507</v>
      </c>
      <c r="T91" s="213" t="s">
        <v>64</v>
      </c>
      <c r="U91" s="213"/>
      <c r="W91" s="217" t="s">
        <v>1445</v>
      </c>
      <c r="X91" s="212" t="s">
        <v>1407</v>
      </c>
      <c r="Y91" s="218">
        <v>45054</v>
      </c>
      <c r="Z91" s="219" t="s">
        <v>1442</v>
      </c>
      <c r="AB91" s="213" t="s">
        <v>68</v>
      </c>
      <c r="AC91" s="213" t="s">
        <v>1196</v>
      </c>
      <c r="AD91" s="213" t="s">
        <v>1395</v>
      </c>
      <c r="AE91" s="212">
        <v>891700037</v>
      </c>
      <c r="AF91" s="212">
        <v>9</v>
      </c>
      <c r="AH91" s="212" t="s">
        <v>551</v>
      </c>
      <c r="AK91" s="214"/>
      <c r="AL91" s="214"/>
      <c r="AM91" s="213" t="s">
        <v>1446</v>
      </c>
      <c r="AN91" s="214">
        <v>45055</v>
      </c>
      <c r="AO91" s="220">
        <v>32971607</v>
      </c>
      <c r="AP91" s="220">
        <v>25538845</v>
      </c>
      <c r="AQ91" s="221"/>
      <c r="AS91" s="220">
        <f>(Tabla13[[#This Row],[VALOR  2023]]+Tabla13[[#This Row],[VALOR VF 2024]])</f>
        <v>58510452</v>
      </c>
      <c r="AT91" s="219" t="s">
        <v>551</v>
      </c>
      <c r="AU91" s="214"/>
      <c r="AV91" s="211"/>
      <c r="AW91" s="214">
        <v>45055</v>
      </c>
      <c r="AX91" s="222">
        <v>45597</v>
      </c>
      <c r="AY91" s="223">
        <f t="shared" ref="AY91:AY98" si="8">(AX91-AW91)</f>
        <v>542</v>
      </c>
      <c r="AZ91" s="224" t="s">
        <v>311</v>
      </c>
      <c r="BA91" s="224">
        <v>52452907</v>
      </c>
      <c r="BE91" s="214"/>
      <c r="BG91" s="214"/>
      <c r="BH91" s="215"/>
      <c r="BJ91" s="214"/>
      <c r="BK91" s="214"/>
      <c r="BN91" s="214"/>
      <c r="BP91" s="215"/>
      <c r="BQ91" s="214"/>
      <c r="BS91" s="214"/>
    </row>
    <row r="92" spans="1:74" s="228" customFormat="1" ht="15" customHeight="1" x14ac:dyDescent="0.25">
      <c r="A92" s="225" t="s">
        <v>459</v>
      </c>
      <c r="B92" s="225" t="s">
        <v>460</v>
      </c>
      <c r="C92" s="226" t="s">
        <v>54</v>
      </c>
      <c r="D92" s="227">
        <v>269</v>
      </c>
      <c r="E92" s="227" t="s">
        <v>345</v>
      </c>
      <c r="F92" s="227" t="s">
        <v>728</v>
      </c>
      <c r="G92" s="232" t="s">
        <v>729</v>
      </c>
      <c r="H92" s="227" t="s">
        <v>127</v>
      </c>
      <c r="I92" s="229">
        <v>44985</v>
      </c>
      <c r="J92" s="227" t="s">
        <v>1538</v>
      </c>
      <c r="K92" s="227" t="s">
        <v>1539</v>
      </c>
      <c r="L92" s="227" t="s">
        <v>1540</v>
      </c>
      <c r="M92" s="227" t="s">
        <v>1541</v>
      </c>
      <c r="N92" s="230" t="s">
        <v>1542</v>
      </c>
      <c r="O92" s="230" t="s">
        <v>1543</v>
      </c>
      <c r="P92" s="230">
        <v>90000000</v>
      </c>
      <c r="Q92" s="230">
        <v>90000000</v>
      </c>
      <c r="R92" s="227">
        <v>21823</v>
      </c>
      <c r="S92" s="227" t="s">
        <v>1544</v>
      </c>
      <c r="T92" s="227" t="s">
        <v>64</v>
      </c>
      <c r="U92" s="227" t="s">
        <v>65</v>
      </c>
      <c r="V92" s="227" t="s">
        <v>517</v>
      </c>
      <c r="W92" s="232" t="s">
        <v>1545</v>
      </c>
      <c r="X92" s="227" t="s">
        <v>1155</v>
      </c>
      <c r="Y92" s="232">
        <v>45042</v>
      </c>
      <c r="Z92" s="227" t="s">
        <v>1546</v>
      </c>
      <c r="AA92" s="227"/>
      <c r="AB92" s="227" t="s">
        <v>295</v>
      </c>
      <c r="AC92" s="227" t="s">
        <v>69</v>
      </c>
      <c r="AD92" s="227" t="s">
        <v>1547</v>
      </c>
      <c r="AE92" s="227">
        <v>900380150</v>
      </c>
      <c r="AF92" s="227">
        <v>0</v>
      </c>
      <c r="AG92" s="227"/>
      <c r="AH92" s="227"/>
      <c r="AK92" s="227" t="s">
        <v>517</v>
      </c>
      <c r="AL92" s="290" t="s">
        <v>517</v>
      </c>
      <c r="AM92" s="227">
        <v>83523</v>
      </c>
      <c r="AN92" s="232">
        <v>45051</v>
      </c>
      <c r="AO92" s="230">
        <v>90000000</v>
      </c>
      <c r="AP92" s="227"/>
      <c r="AQ92" s="233"/>
      <c r="AR92" s="227"/>
      <c r="AS92" s="316">
        <v>90000000</v>
      </c>
      <c r="AT92" s="227" t="s">
        <v>477</v>
      </c>
      <c r="AU92" s="232">
        <v>45041</v>
      </c>
      <c r="AV92" s="232" t="s">
        <v>1548</v>
      </c>
      <c r="AW92" s="232">
        <v>45051</v>
      </c>
      <c r="AX92" s="232">
        <v>45291</v>
      </c>
      <c r="AY92" s="226">
        <f>(AX92-AW92)</f>
        <v>240</v>
      </c>
      <c r="AZ92" s="230" t="s">
        <v>1549</v>
      </c>
      <c r="BA92" s="290">
        <v>53153109</v>
      </c>
      <c r="BB92" s="230"/>
      <c r="BC92" s="232"/>
      <c r="BD92" s="227"/>
      <c r="BE92" s="232"/>
      <c r="BF92" s="227"/>
      <c r="BG92" s="232"/>
      <c r="BH92" s="230"/>
      <c r="BI92" s="232"/>
      <c r="BJ92" s="288">
        <f>([10]!Tabla1[[#This Row],[VALOR TOTAL CONTRATO + VF]]+[10]!Tabla1[[#This Row],[ADICION 1 ]]+[10]!Tabla1[[#This Row],[ADICION 2]]-[10]!Tabla1[[#This Row],[LIBERACION]])</f>
        <v>0</v>
      </c>
      <c r="BK92" s="232"/>
      <c r="BL92" s="232"/>
      <c r="BM92" s="232"/>
      <c r="BN92" s="232"/>
      <c r="BO92" s="227"/>
      <c r="BP92" s="232"/>
      <c r="BQ92" s="232"/>
      <c r="BR92" s="230"/>
      <c r="BS92" s="232"/>
      <c r="BT92" s="228">
        <f>SUM(AY92+BK92+BN92+BQ92)</f>
        <v>240</v>
      </c>
      <c r="BU92" s="232"/>
      <c r="BV92" s="234"/>
    </row>
    <row r="93" spans="1:74" ht="15" customHeight="1" x14ac:dyDescent="0.25">
      <c r="A93" s="36" t="s">
        <v>459</v>
      </c>
      <c r="B93" s="37" t="s">
        <v>460</v>
      </c>
      <c r="C93" s="38" t="s">
        <v>54</v>
      </c>
      <c r="D93" s="42">
        <v>35</v>
      </c>
      <c r="E93" s="39" t="s">
        <v>221</v>
      </c>
      <c r="F93" s="70" t="s">
        <v>518</v>
      </c>
      <c r="G93" s="39" t="s">
        <v>519</v>
      </c>
      <c r="H93" s="39" t="s">
        <v>127</v>
      </c>
      <c r="I93" s="68">
        <v>44985</v>
      </c>
      <c r="J93" s="42" t="s">
        <v>59</v>
      </c>
      <c r="K93" s="42" t="s">
        <v>330</v>
      </c>
      <c r="L93" s="39" t="s">
        <v>99</v>
      </c>
      <c r="M93" s="67" t="s">
        <v>520</v>
      </c>
      <c r="N93" s="39">
        <v>82121506</v>
      </c>
      <c r="O93" s="39" t="s">
        <v>521</v>
      </c>
      <c r="P93" s="50">
        <v>5000000</v>
      </c>
      <c r="Q93" s="50">
        <v>5000000</v>
      </c>
      <c r="R93" s="39">
        <v>24823</v>
      </c>
      <c r="S93" s="39" t="s">
        <v>63</v>
      </c>
      <c r="T93" s="39" t="s">
        <v>64</v>
      </c>
      <c r="U93" s="39" t="s">
        <v>65</v>
      </c>
      <c r="V93" s="39"/>
      <c r="W93" s="39" t="s">
        <v>892</v>
      </c>
      <c r="X93" s="39" t="s">
        <v>769</v>
      </c>
      <c r="Y93" s="68">
        <v>45002</v>
      </c>
      <c r="Z93" s="39" t="s">
        <v>67</v>
      </c>
      <c r="AA93" s="39"/>
      <c r="AB93" s="39" t="s">
        <v>68</v>
      </c>
      <c r="AC93" s="39" t="s">
        <v>69</v>
      </c>
      <c r="AD93" s="39" t="s">
        <v>893</v>
      </c>
      <c r="AE93" s="39">
        <v>901017183</v>
      </c>
      <c r="AF93" s="39">
        <v>2</v>
      </c>
      <c r="AG93" s="42" t="s">
        <v>517</v>
      </c>
      <c r="AH93" s="39" t="s">
        <v>551</v>
      </c>
      <c r="AI93" s="39" t="s">
        <v>467</v>
      </c>
      <c r="AJ93" s="72" t="s">
        <v>874</v>
      </c>
      <c r="AK93" s="44" t="s">
        <v>517</v>
      </c>
      <c r="AL93" s="44" t="s">
        <v>517</v>
      </c>
      <c r="AM93" s="42">
        <v>57623</v>
      </c>
      <c r="AN93" s="68">
        <v>45002</v>
      </c>
      <c r="AO93" s="41">
        <v>5000000</v>
      </c>
      <c r="AP93" s="39"/>
      <c r="AQ93" s="39"/>
      <c r="AR93" s="39"/>
      <c r="AS93" s="41">
        <v>5000000</v>
      </c>
      <c r="AT93" s="39" t="s">
        <v>478</v>
      </c>
      <c r="AU93" s="42" t="s">
        <v>517</v>
      </c>
      <c r="AV93" s="42" t="s">
        <v>517</v>
      </c>
      <c r="AW93" s="68">
        <v>45006</v>
      </c>
      <c r="AX93" s="68">
        <v>45291</v>
      </c>
      <c r="AY93" s="39">
        <f t="shared" si="8"/>
        <v>285</v>
      </c>
      <c r="AZ93" s="39" t="s">
        <v>178</v>
      </c>
      <c r="BA93" s="39">
        <v>39757630</v>
      </c>
      <c r="BB93" s="41"/>
      <c r="BC93" s="43"/>
      <c r="BD93" s="39"/>
      <c r="BE93" s="39"/>
      <c r="BF93" s="39"/>
      <c r="BG93" s="43"/>
      <c r="BH93" s="39"/>
      <c r="BI93" s="43"/>
      <c r="BJ93" s="41" t="e">
        <f>([3]!Tabla1[[#This Row],[VALOR TOTAL CONTRATO + VF]]+[3]!Tabla1[[#This Row],[ADICION 1 ]]+[3]!Tabla1[[#This Row],[ADICION 2]]-[3]!Tabla1[[#This Row],[LIBERACION]])</f>
        <v>#REF!</v>
      </c>
      <c r="BK93" s="39"/>
      <c r="BL93" s="43"/>
      <c r="BM93" s="43"/>
      <c r="BN93" s="39"/>
      <c r="BO93" s="39"/>
      <c r="BP93" s="43"/>
      <c r="BQ93" s="39"/>
      <c r="BR93" s="41"/>
      <c r="BS93" s="43"/>
      <c r="BT93" s="39">
        <f t="shared" ref="BT93:BT98" si="9">SUM(AY93+BK93+BN93+BQ93)</f>
        <v>285</v>
      </c>
      <c r="BU93" s="43"/>
      <c r="BV93" s="46"/>
    </row>
    <row r="94" spans="1:74" s="85" customFormat="1" ht="15" customHeight="1" x14ac:dyDescent="0.25">
      <c r="A94" s="73" t="s">
        <v>459</v>
      </c>
      <c r="B94" s="74" t="s">
        <v>460</v>
      </c>
      <c r="C94" s="75" t="s">
        <v>54</v>
      </c>
      <c r="D94" s="76">
        <v>71</v>
      </c>
      <c r="E94" s="76" t="s">
        <v>221</v>
      </c>
      <c r="F94" s="77" t="s">
        <v>532</v>
      </c>
      <c r="G94" s="76" t="s">
        <v>533</v>
      </c>
      <c r="H94" s="76" t="s">
        <v>127</v>
      </c>
      <c r="I94" s="78">
        <v>44985</v>
      </c>
      <c r="J94" s="76" t="s">
        <v>534</v>
      </c>
      <c r="K94" s="76" t="s">
        <v>60</v>
      </c>
      <c r="L94" s="76" t="s">
        <v>86</v>
      </c>
      <c r="M94" s="77" t="s">
        <v>535</v>
      </c>
      <c r="N94" s="76">
        <v>72103302</v>
      </c>
      <c r="O94" s="79" t="s">
        <v>536</v>
      </c>
      <c r="P94" s="80">
        <v>11800000</v>
      </c>
      <c r="Q94" s="80">
        <v>11800000</v>
      </c>
      <c r="R94" s="76">
        <v>22723</v>
      </c>
      <c r="S94" s="76" t="s">
        <v>89</v>
      </c>
      <c r="T94" s="76" t="s">
        <v>64</v>
      </c>
      <c r="U94" s="76" t="s">
        <v>65</v>
      </c>
      <c r="V94" s="76"/>
      <c r="W94" s="76" t="s">
        <v>1240</v>
      </c>
      <c r="X94" s="76" t="s">
        <v>1155</v>
      </c>
      <c r="Y94" s="78">
        <v>45027</v>
      </c>
      <c r="Z94" s="76" t="s">
        <v>1228</v>
      </c>
      <c r="AA94" s="76"/>
      <c r="AB94" s="76" t="s">
        <v>68</v>
      </c>
      <c r="AC94" s="76" t="s">
        <v>69</v>
      </c>
      <c r="AD94" s="76" t="s">
        <v>1241</v>
      </c>
      <c r="AE94" s="76">
        <v>900098348</v>
      </c>
      <c r="AF94" s="76">
        <v>3</v>
      </c>
      <c r="AG94" s="79" t="s">
        <v>517</v>
      </c>
      <c r="AH94" s="76" t="s">
        <v>297</v>
      </c>
      <c r="AI94" s="79" t="s">
        <v>517</v>
      </c>
      <c r="AJ94" s="81" t="s">
        <v>874</v>
      </c>
      <c r="AK94" s="82" t="s">
        <v>517</v>
      </c>
      <c r="AL94" s="82" t="s">
        <v>517</v>
      </c>
      <c r="AM94" s="76">
        <v>69623</v>
      </c>
      <c r="AN94" s="78">
        <v>45028</v>
      </c>
      <c r="AO94" s="80">
        <v>7186316</v>
      </c>
      <c r="AP94" s="76"/>
      <c r="AQ94" s="76"/>
      <c r="AR94" s="76"/>
      <c r="AS94" s="80">
        <v>7186316</v>
      </c>
      <c r="AT94" s="76" t="s">
        <v>75</v>
      </c>
      <c r="AU94" s="78">
        <v>45019</v>
      </c>
      <c r="AV94" s="76" t="s">
        <v>898</v>
      </c>
      <c r="AW94" s="78">
        <v>45028</v>
      </c>
      <c r="AX94" s="78">
        <v>45291</v>
      </c>
      <c r="AY94" s="76">
        <f t="shared" si="8"/>
        <v>263</v>
      </c>
      <c r="AZ94" s="76" t="s">
        <v>92</v>
      </c>
      <c r="BA94" s="76">
        <v>19498970</v>
      </c>
      <c r="BB94" s="80"/>
      <c r="BC94" s="83"/>
      <c r="BD94" s="76"/>
      <c r="BE94" s="76"/>
      <c r="BF94" s="76"/>
      <c r="BG94" s="83"/>
      <c r="BH94" s="76"/>
      <c r="BI94" s="83"/>
      <c r="BJ94" s="80" t="e">
        <f>([6]!Tabla1[[#This Row],[VALOR TOTAL CONTRATO + VF]]+[6]!Tabla1[[#This Row],[ADICION 1 ]]+[6]!Tabla1[[#This Row],[ADICION 2]]-[6]!Tabla1[[#This Row],[LIBERACION]])</f>
        <v>#REF!</v>
      </c>
      <c r="BK94" s="76"/>
      <c r="BL94" s="83"/>
      <c r="BM94" s="83"/>
      <c r="BN94" s="76"/>
      <c r="BO94" s="76"/>
      <c r="BP94" s="83"/>
      <c r="BQ94" s="76"/>
      <c r="BR94" s="80"/>
      <c r="BS94" s="83"/>
      <c r="BT94" s="76">
        <f t="shared" si="9"/>
        <v>263</v>
      </c>
      <c r="BU94" s="83"/>
      <c r="BV94" s="84"/>
    </row>
    <row r="95" spans="1:74" s="85" customFormat="1" ht="15" customHeight="1" x14ac:dyDescent="0.25">
      <c r="A95" s="73" t="s">
        <v>459</v>
      </c>
      <c r="B95" s="74" t="s">
        <v>460</v>
      </c>
      <c r="C95" s="75" t="s">
        <v>54</v>
      </c>
      <c r="D95" s="76">
        <v>198</v>
      </c>
      <c r="E95" s="76" t="s">
        <v>221</v>
      </c>
      <c r="F95" s="77" t="s">
        <v>537</v>
      </c>
      <c r="G95" s="76" t="s">
        <v>538</v>
      </c>
      <c r="H95" s="76" t="s">
        <v>127</v>
      </c>
      <c r="I95" s="78">
        <v>44985</v>
      </c>
      <c r="J95" s="76" t="s">
        <v>534</v>
      </c>
      <c r="K95" s="76" t="s">
        <v>60</v>
      </c>
      <c r="L95" s="76" t="s">
        <v>61</v>
      </c>
      <c r="M95" s="77" t="s">
        <v>539</v>
      </c>
      <c r="N95" s="76">
        <v>40151510</v>
      </c>
      <c r="O95" s="79" t="s">
        <v>540</v>
      </c>
      <c r="P95" s="80">
        <v>40000000</v>
      </c>
      <c r="Q95" s="80">
        <v>40000000</v>
      </c>
      <c r="R95" s="76">
        <v>21323</v>
      </c>
      <c r="S95" s="76" t="s">
        <v>500</v>
      </c>
      <c r="T95" s="76" t="s">
        <v>64</v>
      </c>
      <c r="U95" s="76" t="s">
        <v>65</v>
      </c>
      <c r="V95" s="76"/>
      <c r="W95" s="76" t="s">
        <v>1242</v>
      </c>
      <c r="X95" s="76" t="s">
        <v>1155</v>
      </c>
      <c r="Y95" s="78">
        <v>45027</v>
      </c>
      <c r="Z95" s="76" t="s">
        <v>1228</v>
      </c>
      <c r="AA95" s="76"/>
      <c r="AB95" s="76" t="s">
        <v>68</v>
      </c>
      <c r="AC95" s="76" t="s">
        <v>69</v>
      </c>
      <c r="AD95" s="76" t="s">
        <v>1243</v>
      </c>
      <c r="AE95" s="76">
        <v>901520694</v>
      </c>
      <c r="AF95" s="76">
        <v>0</v>
      </c>
      <c r="AG95" s="79" t="s">
        <v>517</v>
      </c>
      <c r="AH95" s="76" t="s">
        <v>297</v>
      </c>
      <c r="AI95" s="76" t="s">
        <v>465</v>
      </c>
      <c r="AJ95" s="81" t="s">
        <v>874</v>
      </c>
      <c r="AK95" s="82" t="s">
        <v>517</v>
      </c>
      <c r="AL95" s="82" t="s">
        <v>517</v>
      </c>
      <c r="AM95" s="76">
        <v>69023</v>
      </c>
      <c r="AN95" s="78">
        <v>45028</v>
      </c>
      <c r="AO95" s="80">
        <v>40000000</v>
      </c>
      <c r="AP95" s="76"/>
      <c r="AQ95" s="76"/>
      <c r="AR95" s="76"/>
      <c r="AS95" s="80">
        <v>40000000</v>
      </c>
      <c r="AT95" s="76" t="s">
        <v>75</v>
      </c>
      <c r="AU95" s="78">
        <v>45028</v>
      </c>
      <c r="AV95" s="76" t="s">
        <v>898</v>
      </c>
      <c r="AW95" s="78">
        <v>45034</v>
      </c>
      <c r="AX95" s="78">
        <v>45291</v>
      </c>
      <c r="AY95" s="76">
        <f t="shared" si="8"/>
        <v>257</v>
      </c>
      <c r="AZ95" s="76" t="s">
        <v>1244</v>
      </c>
      <c r="BA95" s="76">
        <v>1070618478</v>
      </c>
      <c r="BB95" s="80"/>
      <c r="BC95" s="83"/>
      <c r="BD95" s="76"/>
      <c r="BE95" s="76"/>
      <c r="BF95" s="76"/>
      <c r="BG95" s="83"/>
      <c r="BH95" s="76"/>
      <c r="BI95" s="83"/>
      <c r="BJ95" s="80" t="e">
        <f>([6]!Tabla1[[#This Row],[VALOR TOTAL CONTRATO + VF]]+[6]!Tabla1[[#This Row],[ADICION 1 ]]+[6]!Tabla1[[#This Row],[ADICION 2]]-[6]!Tabla1[[#This Row],[LIBERACION]])</f>
        <v>#REF!</v>
      </c>
      <c r="BK95" s="76"/>
      <c r="BL95" s="83"/>
      <c r="BM95" s="83"/>
      <c r="BN95" s="76"/>
      <c r="BO95" s="76"/>
      <c r="BP95" s="83"/>
      <c r="BQ95" s="76"/>
      <c r="BR95" s="80"/>
      <c r="BS95" s="83"/>
      <c r="BT95" s="76">
        <f t="shared" si="9"/>
        <v>257</v>
      </c>
      <c r="BU95" s="83"/>
      <c r="BV95" s="84"/>
    </row>
    <row r="96" spans="1:74" ht="15" customHeight="1" x14ac:dyDescent="0.25">
      <c r="A96" s="36" t="s">
        <v>459</v>
      </c>
      <c r="B96" s="37" t="s">
        <v>460</v>
      </c>
      <c r="C96" s="38" t="s">
        <v>54</v>
      </c>
      <c r="D96" s="42">
        <v>228</v>
      </c>
      <c r="E96" s="39" t="s">
        <v>221</v>
      </c>
      <c r="F96" s="70" t="s">
        <v>565</v>
      </c>
      <c r="G96" s="39" t="s">
        <v>566</v>
      </c>
      <c r="H96" s="39" t="s">
        <v>127</v>
      </c>
      <c r="I96" s="68">
        <v>44985</v>
      </c>
      <c r="J96" s="42" t="s">
        <v>59</v>
      </c>
      <c r="K96" s="42" t="s">
        <v>330</v>
      </c>
      <c r="L96" s="39" t="s">
        <v>86</v>
      </c>
      <c r="M96" s="67" t="s">
        <v>567</v>
      </c>
      <c r="N96" s="39">
        <v>30171510</v>
      </c>
      <c r="O96" s="39" t="s">
        <v>568</v>
      </c>
      <c r="P96" s="50">
        <v>1814000000</v>
      </c>
      <c r="Q96" s="50">
        <v>1710773000</v>
      </c>
      <c r="R96" s="39">
        <v>23023</v>
      </c>
      <c r="S96" s="39" t="s">
        <v>89</v>
      </c>
      <c r="T96" s="39" t="s">
        <v>64</v>
      </c>
      <c r="U96" s="39" t="s">
        <v>65</v>
      </c>
      <c r="V96" s="39"/>
      <c r="W96" s="39" t="s">
        <v>877</v>
      </c>
      <c r="X96" s="39" t="s">
        <v>769</v>
      </c>
      <c r="Y96" s="40">
        <v>45008</v>
      </c>
      <c r="Z96" s="86" t="s">
        <v>861</v>
      </c>
      <c r="AA96" s="39"/>
      <c r="AB96" s="39" t="s">
        <v>68</v>
      </c>
      <c r="AC96" s="39" t="s">
        <v>69</v>
      </c>
      <c r="AD96" s="39" t="s">
        <v>878</v>
      </c>
      <c r="AE96" s="39">
        <v>900075980</v>
      </c>
      <c r="AF96" s="39">
        <v>1</v>
      </c>
      <c r="AG96" s="42" t="s">
        <v>517</v>
      </c>
      <c r="AH96" s="39" t="s">
        <v>297</v>
      </c>
      <c r="AI96" s="39" t="s">
        <v>466</v>
      </c>
      <c r="AJ96" s="72" t="s">
        <v>874</v>
      </c>
      <c r="AK96" s="44" t="s">
        <v>517</v>
      </c>
      <c r="AL96" s="44" t="s">
        <v>517</v>
      </c>
      <c r="AM96" s="39">
        <v>60023</v>
      </c>
      <c r="AN96" s="68">
        <v>45008</v>
      </c>
      <c r="AO96" s="41">
        <v>1710772983</v>
      </c>
      <c r="AP96" s="39"/>
      <c r="AQ96" s="39"/>
      <c r="AR96" s="39"/>
      <c r="AS96" s="41">
        <v>1710772983</v>
      </c>
      <c r="AT96" s="39" t="s">
        <v>75</v>
      </c>
      <c r="AU96" s="68"/>
      <c r="AV96" s="39"/>
      <c r="AW96" s="68"/>
      <c r="AX96" s="68"/>
      <c r="AY96" s="39">
        <f t="shared" si="8"/>
        <v>0</v>
      </c>
      <c r="AZ96" s="39" t="s">
        <v>92</v>
      </c>
      <c r="BA96" s="39">
        <v>19498970</v>
      </c>
      <c r="BB96" s="41"/>
      <c r="BC96" s="43"/>
      <c r="BD96" s="39"/>
      <c r="BE96" s="39"/>
      <c r="BF96" s="39"/>
      <c r="BG96" s="43"/>
      <c r="BH96" s="39"/>
      <c r="BI96" s="43"/>
      <c r="BJ96" s="41" t="e">
        <f>([3]!Tabla1[[#This Row],[VALOR TOTAL CONTRATO + VF]]+[3]!Tabla1[[#This Row],[ADICION 1 ]]+[3]!Tabla1[[#This Row],[ADICION 2]]-[3]!Tabla1[[#This Row],[LIBERACION]])</f>
        <v>#REF!</v>
      </c>
      <c r="BK96" s="39"/>
      <c r="BL96" s="43"/>
      <c r="BM96" s="43"/>
      <c r="BN96" s="39"/>
      <c r="BO96" s="39"/>
      <c r="BP96" s="43"/>
      <c r="BQ96" s="39"/>
      <c r="BR96" s="41"/>
      <c r="BS96" s="43"/>
      <c r="BT96" s="39">
        <f t="shared" si="9"/>
        <v>0</v>
      </c>
      <c r="BU96" s="43"/>
      <c r="BV96" s="46" t="s">
        <v>879</v>
      </c>
    </row>
    <row r="97" spans="1:74" ht="15" customHeight="1" x14ac:dyDescent="0.25">
      <c r="A97" s="36" t="s">
        <v>459</v>
      </c>
      <c r="B97" s="37" t="s">
        <v>460</v>
      </c>
      <c r="C97" s="38" t="s">
        <v>54</v>
      </c>
      <c r="D97" s="42">
        <v>233</v>
      </c>
      <c r="E97" s="39" t="s">
        <v>221</v>
      </c>
      <c r="F97" s="70" t="s">
        <v>569</v>
      </c>
      <c r="G97" s="39" t="s">
        <v>570</v>
      </c>
      <c r="H97" s="39" t="s">
        <v>127</v>
      </c>
      <c r="I97" s="68">
        <v>44985</v>
      </c>
      <c r="J97" s="39" t="s">
        <v>534</v>
      </c>
      <c r="K97" s="39" t="s">
        <v>60</v>
      </c>
      <c r="L97" s="42" t="s">
        <v>313</v>
      </c>
      <c r="M97" s="67" t="s">
        <v>571</v>
      </c>
      <c r="N97" s="39" t="s">
        <v>572</v>
      </c>
      <c r="O97" s="39" t="s">
        <v>573</v>
      </c>
      <c r="P97" s="50">
        <v>16414056.75</v>
      </c>
      <c r="Q97" s="50">
        <v>16414056.75</v>
      </c>
      <c r="R97" s="39">
        <v>21523</v>
      </c>
      <c r="S97" s="39" t="s">
        <v>89</v>
      </c>
      <c r="T97" s="39" t="s">
        <v>64</v>
      </c>
      <c r="U97" s="39" t="s">
        <v>65</v>
      </c>
      <c r="V97" s="39"/>
      <c r="W97" s="39" t="s">
        <v>880</v>
      </c>
      <c r="X97" s="39" t="s">
        <v>769</v>
      </c>
      <c r="Y97" s="40">
        <v>45015</v>
      </c>
      <c r="Z97" s="39" t="s">
        <v>60</v>
      </c>
      <c r="AA97" s="39"/>
      <c r="AB97" s="39" t="s">
        <v>68</v>
      </c>
      <c r="AC97" s="39" t="s">
        <v>69</v>
      </c>
      <c r="AD97" s="39" t="s">
        <v>881</v>
      </c>
      <c r="AE97" s="39">
        <v>830067880</v>
      </c>
      <c r="AF97" s="39">
        <v>4</v>
      </c>
      <c r="AG97" s="42" t="s">
        <v>517</v>
      </c>
      <c r="AH97" s="39" t="s">
        <v>297</v>
      </c>
      <c r="AI97" s="42" t="s">
        <v>517</v>
      </c>
      <c r="AJ97" s="72" t="s">
        <v>874</v>
      </c>
      <c r="AK97" s="44" t="s">
        <v>517</v>
      </c>
      <c r="AL97" s="44" t="s">
        <v>517</v>
      </c>
      <c r="AM97" s="39">
        <v>68126</v>
      </c>
      <c r="AN97" s="68">
        <v>45027</v>
      </c>
      <c r="AO97" s="41">
        <v>16231600</v>
      </c>
      <c r="AP97" s="39"/>
      <c r="AQ97" s="39"/>
      <c r="AR97" s="39"/>
      <c r="AS97" s="41">
        <v>16231600</v>
      </c>
      <c r="AT97" s="39" t="s">
        <v>75</v>
      </c>
      <c r="AU97" s="68">
        <v>45026</v>
      </c>
      <c r="AV97" s="39" t="s">
        <v>898</v>
      </c>
      <c r="AW97" s="68">
        <v>45027</v>
      </c>
      <c r="AX97" s="68">
        <v>45291</v>
      </c>
      <c r="AY97" s="39">
        <f t="shared" si="8"/>
        <v>264</v>
      </c>
      <c r="AZ97" s="39" t="s">
        <v>876</v>
      </c>
      <c r="BA97" s="39">
        <v>75035031</v>
      </c>
      <c r="BB97" s="41"/>
      <c r="BC97" s="43"/>
      <c r="BD97" s="39"/>
      <c r="BE97" s="39"/>
      <c r="BF97" s="39"/>
      <c r="BG97" s="43"/>
      <c r="BH97" s="39"/>
      <c r="BI97" s="43"/>
      <c r="BJ97" s="41" t="e">
        <f>([6]!Tabla1[[#This Row],[VALOR TOTAL CONTRATO + VF]]+[6]!Tabla1[[#This Row],[ADICION 1 ]]+[6]!Tabla1[[#This Row],[ADICION 2]]-[6]!Tabla1[[#This Row],[LIBERACION]])</f>
        <v>#REF!</v>
      </c>
      <c r="BK97" s="39"/>
      <c r="BL97" s="43"/>
      <c r="BM97" s="43"/>
      <c r="BN97" s="39"/>
      <c r="BO97" s="39"/>
      <c r="BP97" s="43"/>
      <c r="BQ97" s="39"/>
      <c r="BR97" s="41"/>
      <c r="BS97" s="43"/>
      <c r="BT97" s="39">
        <f t="shared" si="9"/>
        <v>264</v>
      </c>
      <c r="BU97" s="43"/>
      <c r="BV97" s="46"/>
    </row>
    <row r="98" spans="1:74" ht="15" customHeight="1" x14ac:dyDescent="0.25">
      <c r="A98" s="36" t="s">
        <v>459</v>
      </c>
      <c r="B98" s="37" t="s">
        <v>460</v>
      </c>
      <c r="C98" s="38" t="s">
        <v>54</v>
      </c>
      <c r="D98" s="42">
        <v>281</v>
      </c>
      <c r="E98" s="39" t="s">
        <v>221</v>
      </c>
      <c r="F98" s="70" t="s">
        <v>598</v>
      </c>
      <c r="G98" s="55" t="s">
        <v>599</v>
      </c>
      <c r="H98" s="39" t="s">
        <v>127</v>
      </c>
      <c r="I98" s="68">
        <v>44985</v>
      </c>
      <c r="J98" s="42" t="s">
        <v>59</v>
      </c>
      <c r="K98" s="42" t="s">
        <v>330</v>
      </c>
      <c r="L98" s="42" t="s">
        <v>313</v>
      </c>
      <c r="M98" s="67" t="s">
        <v>331</v>
      </c>
      <c r="N98" s="39">
        <v>73152100</v>
      </c>
      <c r="O98" s="39" t="s">
        <v>600</v>
      </c>
      <c r="P98" s="50">
        <v>16275000</v>
      </c>
      <c r="Q98" s="50">
        <v>16275000</v>
      </c>
      <c r="R98" s="42">
        <v>13023</v>
      </c>
      <c r="S98" s="39" t="s">
        <v>89</v>
      </c>
      <c r="T98" s="39" t="s">
        <v>64</v>
      </c>
      <c r="U98" s="39" t="s">
        <v>65</v>
      </c>
      <c r="V98" s="39"/>
      <c r="W98" s="55" t="s">
        <v>871</v>
      </c>
      <c r="X98" s="39" t="s">
        <v>769</v>
      </c>
      <c r="Y98" s="40">
        <v>45007</v>
      </c>
      <c r="Z98" s="39" t="s">
        <v>60</v>
      </c>
      <c r="AA98" s="42"/>
      <c r="AB98" s="42" t="s">
        <v>872</v>
      </c>
      <c r="AC98" s="39" t="s">
        <v>69</v>
      </c>
      <c r="AD98" s="42" t="s">
        <v>873</v>
      </c>
      <c r="AE98" s="42">
        <v>900426006</v>
      </c>
      <c r="AF98" s="42">
        <v>8</v>
      </c>
      <c r="AG98" s="42" t="s">
        <v>517</v>
      </c>
      <c r="AH98" s="39" t="s">
        <v>551</v>
      </c>
      <c r="AI98" s="39" t="s">
        <v>467</v>
      </c>
      <c r="AJ98" s="72" t="s">
        <v>874</v>
      </c>
      <c r="AK98" s="44" t="s">
        <v>517</v>
      </c>
      <c r="AL98" s="44" t="s">
        <v>517</v>
      </c>
      <c r="AM98" s="39">
        <v>59423</v>
      </c>
      <c r="AN98" s="55">
        <v>45008</v>
      </c>
      <c r="AO98" s="50">
        <v>16275000</v>
      </c>
      <c r="AP98" s="42"/>
      <c r="AQ98" s="53"/>
      <c r="AR98" s="42"/>
      <c r="AS98" s="50">
        <v>16275000</v>
      </c>
      <c r="AT98" s="39" t="s">
        <v>75</v>
      </c>
      <c r="AU98" s="68">
        <v>45008</v>
      </c>
      <c r="AV98" s="39" t="s">
        <v>875</v>
      </c>
      <c r="AW98" s="68">
        <v>45008</v>
      </c>
      <c r="AX98" s="68">
        <v>45291</v>
      </c>
      <c r="AY98" s="39">
        <f t="shared" si="8"/>
        <v>283</v>
      </c>
      <c r="AZ98" s="50" t="s">
        <v>876</v>
      </c>
      <c r="BA98" s="39">
        <v>75035031</v>
      </c>
      <c r="BB98" s="50"/>
      <c r="BC98" s="55"/>
      <c r="BD98" s="42"/>
      <c r="BE98" s="55"/>
      <c r="BF98" s="42"/>
      <c r="BG98" s="55"/>
      <c r="BH98" s="50"/>
      <c r="BI98" s="55"/>
      <c r="BJ98" s="41" t="e">
        <f>([3]!Tabla1[[#This Row],[VALOR TOTAL CONTRATO + VF]]+[3]!Tabla1[[#This Row],[ADICION 1 ]]+[3]!Tabla1[[#This Row],[ADICION 2]]-[3]!Tabla1[[#This Row],[LIBERACION]])</f>
        <v>#REF!</v>
      </c>
      <c r="BK98" s="55"/>
      <c r="BL98" s="55"/>
      <c r="BM98" s="55"/>
      <c r="BN98" s="55"/>
      <c r="BO98" s="42"/>
      <c r="BP98" s="55"/>
      <c r="BQ98" s="55"/>
      <c r="BR98" s="50"/>
      <c r="BS98" s="55"/>
      <c r="BT98" s="39">
        <f t="shared" si="9"/>
        <v>283</v>
      </c>
      <c r="BU98" s="55"/>
      <c r="BV98" s="54"/>
    </row>
    <row r="99" spans="1:74" ht="15" customHeight="1" x14ac:dyDescent="0.25">
      <c r="A99" s="36" t="s">
        <v>459</v>
      </c>
      <c r="B99" s="37" t="s">
        <v>460</v>
      </c>
      <c r="C99" s="38" t="s">
        <v>54</v>
      </c>
      <c r="D99" s="42">
        <v>278</v>
      </c>
      <c r="E99" s="39" t="s">
        <v>344</v>
      </c>
      <c r="F99" s="70" t="s">
        <v>1030</v>
      </c>
      <c r="G99" s="55" t="s">
        <v>1031</v>
      </c>
      <c r="H99" s="42" t="s">
        <v>769</v>
      </c>
      <c r="I99" s="68">
        <v>44986</v>
      </c>
      <c r="J99" s="42" t="s">
        <v>1032</v>
      </c>
      <c r="K99" s="42" t="s">
        <v>1033</v>
      </c>
      <c r="L99" s="39" t="s">
        <v>766</v>
      </c>
      <c r="M99" s="67" t="s">
        <v>1034</v>
      </c>
      <c r="N99" s="50" t="s">
        <v>1035</v>
      </c>
      <c r="O99" s="50" t="s">
        <v>1036</v>
      </c>
      <c r="P99" s="50">
        <v>52000000</v>
      </c>
      <c r="Q99" s="50">
        <v>52000000</v>
      </c>
      <c r="R99" s="42">
        <v>24623</v>
      </c>
      <c r="S99" s="42" t="s">
        <v>1037</v>
      </c>
      <c r="T99" s="42" t="s">
        <v>64</v>
      </c>
      <c r="U99" s="42" t="s">
        <v>65</v>
      </c>
      <c r="V99" s="42"/>
      <c r="W99" s="55" t="s">
        <v>1038</v>
      </c>
      <c r="X99" s="42" t="s">
        <v>994</v>
      </c>
      <c r="Y99" s="43">
        <v>45001</v>
      </c>
      <c r="Z99" s="42" t="s">
        <v>1039</v>
      </c>
      <c r="AA99" s="42"/>
      <c r="AB99" s="39" t="s">
        <v>68</v>
      </c>
      <c r="AC99" s="39" t="s">
        <v>69</v>
      </c>
      <c r="AD99" s="42" t="s">
        <v>1040</v>
      </c>
      <c r="AE99" s="42" t="s">
        <v>1041</v>
      </c>
      <c r="AF99" s="42"/>
      <c r="AG99" s="39" t="s">
        <v>517</v>
      </c>
      <c r="AH99" s="39" t="s">
        <v>551</v>
      </c>
      <c r="AI99" s="39"/>
      <c r="AJ99" s="39"/>
      <c r="AK99" s="42"/>
      <c r="AL99" s="52" t="e">
        <f ca="1">+YEAR(TODAY())-YEAR([7]!Tabla1[[#This Row],[FECHA DE NACIMIENTO]])</f>
        <v>#REF!</v>
      </c>
      <c r="AM99" s="42">
        <v>57223</v>
      </c>
      <c r="AN99" s="43">
        <v>45002</v>
      </c>
      <c r="AO99" s="50">
        <v>52000000</v>
      </c>
      <c r="AP99" s="42"/>
      <c r="AQ99" s="53"/>
      <c r="AR99" s="42"/>
      <c r="AS99" s="53">
        <v>52000000</v>
      </c>
      <c r="AT99" s="39" t="s">
        <v>297</v>
      </c>
      <c r="AU99" s="43">
        <v>45000</v>
      </c>
      <c r="AV99" s="39" t="s">
        <v>74</v>
      </c>
      <c r="AW99" s="43">
        <v>45002</v>
      </c>
      <c r="AX99" s="43">
        <v>45033</v>
      </c>
      <c r="AY99" s="37">
        <v>30</v>
      </c>
      <c r="AZ99" s="50" t="s">
        <v>1042</v>
      </c>
      <c r="BA99" s="42">
        <v>79994053</v>
      </c>
      <c r="BB99" s="50"/>
      <c r="BC99" s="55"/>
      <c r="BD99" s="42"/>
      <c r="BE99" s="55"/>
      <c r="BF99" s="42"/>
      <c r="BG99" s="55"/>
      <c r="BH99" s="50"/>
      <c r="BI99" s="55"/>
      <c r="BJ99" s="50">
        <v>52000000</v>
      </c>
      <c r="BK99" s="55"/>
      <c r="BL99" s="55"/>
      <c r="BM99" s="55"/>
      <c r="BN99" s="55"/>
      <c r="BO99" s="42"/>
      <c r="BP99" s="55"/>
      <c r="BQ99" s="55"/>
      <c r="BR99" s="50"/>
      <c r="BS99" s="55"/>
      <c r="BT99" s="42">
        <v>30</v>
      </c>
      <c r="BU99" s="55"/>
      <c r="BV99" s="54"/>
    </row>
    <row r="100" spans="1:74" s="212" customFormat="1" ht="15" customHeight="1" x14ac:dyDescent="0.25">
      <c r="A100" s="210" t="s">
        <v>459</v>
      </c>
      <c r="B100" s="210" t="s">
        <v>460</v>
      </c>
      <c r="C100" s="211" t="s">
        <v>54</v>
      </c>
      <c r="D100" s="212">
        <v>69</v>
      </c>
      <c r="E100" s="212" t="s">
        <v>55</v>
      </c>
      <c r="F100" s="212" t="s">
        <v>780</v>
      </c>
      <c r="G100" s="212" t="s">
        <v>781</v>
      </c>
      <c r="H100" s="213" t="s">
        <v>769</v>
      </c>
      <c r="I100" s="214">
        <v>44987</v>
      </c>
      <c r="J100" s="212" t="s">
        <v>492</v>
      </c>
      <c r="K100" s="212" t="s">
        <v>493</v>
      </c>
      <c r="L100" s="210" t="s">
        <v>225</v>
      </c>
      <c r="M100" s="212" t="s">
        <v>782</v>
      </c>
      <c r="N100" s="210">
        <v>43232800</v>
      </c>
      <c r="O100" s="215" t="s">
        <v>783</v>
      </c>
      <c r="P100" s="216">
        <v>96500000</v>
      </c>
      <c r="Q100" s="216">
        <v>96489999</v>
      </c>
      <c r="R100" s="212">
        <v>20523</v>
      </c>
      <c r="S100" s="210" t="s">
        <v>89</v>
      </c>
      <c r="T100" s="213" t="s">
        <v>64</v>
      </c>
      <c r="U100" s="213"/>
      <c r="W100" s="217" t="s">
        <v>1447</v>
      </c>
      <c r="X100" s="212" t="s">
        <v>1407</v>
      </c>
      <c r="Y100" s="218">
        <v>45043</v>
      </c>
      <c r="Z100" s="219" t="s">
        <v>1435</v>
      </c>
      <c r="AB100" s="213" t="s">
        <v>68</v>
      </c>
      <c r="AC100" s="213" t="s">
        <v>1196</v>
      </c>
      <c r="AD100" s="213" t="s">
        <v>1448</v>
      </c>
      <c r="AE100" s="212">
        <v>830106748</v>
      </c>
      <c r="AF100" s="212">
        <v>8</v>
      </c>
      <c r="AH100" s="212" t="s">
        <v>551</v>
      </c>
      <c r="AK100" s="214"/>
      <c r="AL100" s="214"/>
      <c r="AM100" s="213">
        <v>82823</v>
      </c>
      <c r="AN100" s="214">
        <v>45050</v>
      </c>
      <c r="AO100" s="220">
        <v>96489974</v>
      </c>
      <c r="AP100" s="220"/>
      <c r="AQ100" s="221"/>
      <c r="AS100" s="220">
        <f>(Tabla13[[#This Row],[VALOR  2023]]+Tabla13[[#This Row],[VALOR VF 2024]])</f>
        <v>96489974</v>
      </c>
      <c r="AT100" s="219" t="s">
        <v>297</v>
      </c>
      <c r="AU100" s="214">
        <v>45054</v>
      </c>
      <c r="AV100" s="211" t="s">
        <v>74</v>
      </c>
      <c r="AW100" s="214">
        <v>45054</v>
      </c>
      <c r="AX100" s="222">
        <v>45291</v>
      </c>
      <c r="AY100" s="223">
        <f t="shared" ref="AY100:AY107" si="10">(AX100-AW100)</f>
        <v>237</v>
      </c>
      <c r="AZ100" s="224" t="s">
        <v>1217</v>
      </c>
      <c r="BA100" s="224">
        <v>19498970</v>
      </c>
      <c r="BE100" s="214"/>
      <c r="BG100" s="214"/>
      <c r="BH100" s="215"/>
      <c r="BJ100" s="214"/>
      <c r="BK100" s="214"/>
      <c r="BN100" s="214"/>
      <c r="BP100" s="215"/>
      <c r="BQ100" s="214"/>
      <c r="BS100" s="214"/>
    </row>
    <row r="101" spans="1:74" s="59" customFormat="1" ht="15" customHeight="1" x14ac:dyDescent="0.25">
      <c r="A101" s="42" t="s">
        <v>459</v>
      </c>
      <c r="B101" s="42" t="s">
        <v>460</v>
      </c>
      <c r="C101" s="39" t="s">
        <v>54</v>
      </c>
      <c r="D101" s="42">
        <v>111</v>
      </c>
      <c r="E101" s="39" t="s">
        <v>221</v>
      </c>
      <c r="F101" s="42" t="s">
        <v>818</v>
      </c>
      <c r="G101" s="55" t="s">
        <v>819</v>
      </c>
      <c r="H101" s="42" t="s">
        <v>769</v>
      </c>
      <c r="I101" s="71">
        <v>44988</v>
      </c>
      <c r="J101" s="42" t="s">
        <v>59</v>
      </c>
      <c r="K101" s="39" t="s">
        <v>60</v>
      </c>
      <c r="L101" s="39" t="s">
        <v>86</v>
      </c>
      <c r="M101" s="39" t="s">
        <v>820</v>
      </c>
      <c r="N101" s="39">
        <v>80161500</v>
      </c>
      <c r="O101" s="50" t="s">
        <v>732</v>
      </c>
      <c r="P101" s="50">
        <v>25000000</v>
      </c>
      <c r="Q101" s="50">
        <v>27500000</v>
      </c>
      <c r="R101" s="42">
        <v>23423</v>
      </c>
      <c r="S101" s="42" t="s">
        <v>89</v>
      </c>
      <c r="T101" s="39" t="s">
        <v>64</v>
      </c>
      <c r="U101" s="39" t="s">
        <v>65</v>
      </c>
      <c r="V101" s="39"/>
      <c r="W101" s="55" t="s">
        <v>821</v>
      </c>
      <c r="X101" s="39" t="s">
        <v>769</v>
      </c>
      <c r="Y101" s="40">
        <v>44998</v>
      </c>
      <c r="Z101" s="39" t="s">
        <v>60</v>
      </c>
      <c r="AA101" s="42"/>
      <c r="AB101" s="42" t="s">
        <v>822</v>
      </c>
      <c r="AC101" s="42" t="s">
        <v>823</v>
      </c>
      <c r="AD101" s="42" t="s">
        <v>824</v>
      </c>
      <c r="AE101" s="42">
        <v>1090393438</v>
      </c>
      <c r="AF101" s="39" t="s">
        <v>141</v>
      </c>
      <c r="AG101" s="42" t="s">
        <v>825</v>
      </c>
      <c r="AH101" s="39" t="s">
        <v>551</v>
      </c>
      <c r="AI101" s="39" t="s">
        <v>467</v>
      </c>
      <c r="AJ101" s="42" t="s">
        <v>517</v>
      </c>
      <c r="AK101" s="43">
        <v>32225</v>
      </c>
      <c r="AL101" s="52" t="e">
        <f ca="1">+YEAR(TODAY())-YEAR([3]!Tabla1[[#This Row],[FECHA DE NACIMIENTO]])</f>
        <v>#REF!</v>
      </c>
      <c r="AM101" s="39">
        <v>54623</v>
      </c>
      <c r="AN101" s="68">
        <v>44999</v>
      </c>
      <c r="AO101" s="50">
        <v>25000000</v>
      </c>
      <c r="AP101" s="42"/>
      <c r="AQ101" s="53"/>
      <c r="AR101" s="42"/>
      <c r="AS101" s="50">
        <v>25000000</v>
      </c>
      <c r="AT101" s="39" t="s">
        <v>75</v>
      </c>
      <c r="AU101" s="68">
        <v>44992</v>
      </c>
      <c r="AV101" s="39" t="s">
        <v>74</v>
      </c>
      <c r="AW101" s="68">
        <v>45000</v>
      </c>
      <c r="AX101" s="68">
        <v>45291</v>
      </c>
      <c r="AY101" s="39">
        <f t="shared" si="10"/>
        <v>291</v>
      </c>
      <c r="AZ101" s="92" t="s">
        <v>826</v>
      </c>
      <c r="BA101" s="39">
        <v>88151663</v>
      </c>
      <c r="BB101" s="50"/>
      <c r="BC101" s="55"/>
      <c r="BD101" s="42"/>
      <c r="BE101" s="55"/>
      <c r="BF101" s="42"/>
      <c r="BG101" s="55"/>
      <c r="BH101" s="50"/>
      <c r="BI101" s="55"/>
      <c r="BJ101" s="41" t="e">
        <f>([3]!Tabla1[[#This Row],[VALOR TOTAL CONTRATO + VF]]+[3]!Tabla1[[#This Row],[ADICION 1 ]]+[3]!Tabla1[[#This Row],[ADICION 2]]-[3]!Tabla1[[#This Row],[LIBERACION]])</f>
        <v>#REF!</v>
      </c>
      <c r="BK101" s="55"/>
      <c r="BL101" s="55"/>
      <c r="BM101" s="55"/>
      <c r="BN101" s="55"/>
      <c r="BO101" s="42"/>
      <c r="BP101" s="55"/>
      <c r="BQ101" s="55"/>
      <c r="BR101" s="50"/>
      <c r="BS101" s="55"/>
      <c r="BT101" s="39">
        <f t="shared" ref="BT101:BT107" si="11">SUM(AY101+BK101+BN101+BQ101)</f>
        <v>291</v>
      </c>
      <c r="BU101" s="55"/>
      <c r="BV101" s="42"/>
    </row>
    <row r="102" spans="1:74" ht="15" customHeight="1" x14ac:dyDescent="0.25">
      <c r="A102" s="56" t="s">
        <v>459</v>
      </c>
      <c r="B102" s="56" t="s">
        <v>460</v>
      </c>
      <c r="C102" s="93" t="s">
        <v>54</v>
      </c>
      <c r="D102" s="94">
        <v>112</v>
      </c>
      <c r="E102" s="95" t="s">
        <v>221</v>
      </c>
      <c r="F102" s="96" t="s">
        <v>827</v>
      </c>
      <c r="G102" s="97" t="s">
        <v>828</v>
      </c>
      <c r="H102" s="94" t="s">
        <v>769</v>
      </c>
      <c r="I102" s="98">
        <v>44988</v>
      </c>
      <c r="J102" s="94" t="s">
        <v>59</v>
      </c>
      <c r="K102" s="95" t="s">
        <v>60</v>
      </c>
      <c r="L102" s="95" t="s">
        <v>86</v>
      </c>
      <c r="M102" s="99" t="s">
        <v>820</v>
      </c>
      <c r="N102" s="95">
        <v>80161500</v>
      </c>
      <c r="O102" s="100" t="s">
        <v>732</v>
      </c>
      <c r="P102" s="100">
        <v>25000000</v>
      </c>
      <c r="Q102" s="100">
        <v>27500000</v>
      </c>
      <c r="R102" s="94">
        <v>23323</v>
      </c>
      <c r="S102" s="94" t="s">
        <v>89</v>
      </c>
      <c r="T102" s="95" t="s">
        <v>64</v>
      </c>
      <c r="U102" s="95" t="s">
        <v>65</v>
      </c>
      <c r="V102" s="95"/>
      <c r="W102" s="97" t="s">
        <v>829</v>
      </c>
      <c r="X102" s="95" t="s">
        <v>769</v>
      </c>
      <c r="Y102" s="101">
        <v>44992</v>
      </c>
      <c r="Z102" s="95" t="s">
        <v>60</v>
      </c>
      <c r="AA102" s="94"/>
      <c r="AB102" s="94" t="s">
        <v>822</v>
      </c>
      <c r="AC102" s="94" t="s">
        <v>823</v>
      </c>
      <c r="AD102" s="94" t="s">
        <v>830</v>
      </c>
      <c r="AE102" s="94">
        <v>1090504369</v>
      </c>
      <c r="AF102" s="95" t="s">
        <v>141</v>
      </c>
      <c r="AG102" s="102" t="s">
        <v>831</v>
      </c>
      <c r="AH102" s="95" t="s">
        <v>551</v>
      </c>
      <c r="AI102" s="95" t="s">
        <v>467</v>
      </c>
      <c r="AJ102" s="94" t="s">
        <v>517</v>
      </c>
      <c r="AK102" s="103">
        <v>35515</v>
      </c>
      <c r="AL102" s="104" t="e">
        <f ca="1">+YEAR(TODAY())-YEAR([3]!Tabla1[[#This Row],[FECHA DE NACIMIENTO]])</f>
        <v>#REF!</v>
      </c>
      <c r="AM102" s="95">
        <v>48923</v>
      </c>
      <c r="AN102" s="105">
        <v>44993</v>
      </c>
      <c r="AO102" s="100">
        <v>25000000</v>
      </c>
      <c r="AP102" s="94"/>
      <c r="AQ102" s="106"/>
      <c r="AR102" s="94"/>
      <c r="AS102" s="100">
        <v>25000000</v>
      </c>
      <c r="AT102" s="95" t="s">
        <v>75</v>
      </c>
      <c r="AU102" s="105">
        <v>44993</v>
      </c>
      <c r="AV102" s="95" t="s">
        <v>74</v>
      </c>
      <c r="AW102" s="105">
        <v>45000</v>
      </c>
      <c r="AX102" s="105">
        <v>45291</v>
      </c>
      <c r="AY102" s="93">
        <f t="shared" si="10"/>
        <v>291</v>
      </c>
      <c r="AZ102" s="107" t="s">
        <v>826</v>
      </c>
      <c r="BA102" s="95">
        <v>88151663</v>
      </c>
      <c r="BB102" s="100"/>
      <c r="BC102" s="97"/>
      <c r="BD102" s="94"/>
      <c r="BE102" s="97"/>
      <c r="BF102" s="94"/>
      <c r="BG102" s="97"/>
      <c r="BH102" s="100"/>
      <c r="BI102" s="97"/>
      <c r="BJ102" s="108" t="e">
        <f>([3]!Tabla1[[#This Row],[VALOR TOTAL CONTRATO + VF]]+[3]!Tabla1[[#This Row],[ADICION 1 ]]+[3]!Tabla1[[#This Row],[ADICION 2]]-[3]!Tabla1[[#This Row],[LIBERACION]])</f>
        <v>#REF!</v>
      </c>
      <c r="BK102" s="97"/>
      <c r="BL102" s="97"/>
      <c r="BM102" s="97"/>
      <c r="BN102" s="97"/>
      <c r="BO102" s="94"/>
      <c r="BP102" s="97"/>
      <c r="BQ102" s="97"/>
      <c r="BR102" s="100"/>
      <c r="BS102" s="97"/>
      <c r="BT102" s="95">
        <f t="shared" si="11"/>
        <v>291</v>
      </c>
      <c r="BU102" s="97"/>
      <c r="BV102" s="109"/>
    </row>
    <row r="103" spans="1:74" ht="15" customHeight="1" x14ac:dyDescent="0.25">
      <c r="A103" s="56" t="s">
        <v>459</v>
      </c>
      <c r="B103" s="57" t="s">
        <v>460</v>
      </c>
      <c r="C103" s="58" t="s">
        <v>54</v>
      </c>
      <c r="D103" s="110">
        <v>113</v>
      </c>
      <c r="E103" s="59" t="s">
        <v>221</v>
      </c>
      <c r="F103" s="111" t="s">
        <v>832</v>
      </c>
      <c r="G103" s="112" t="s">
        <v>833</v>
      </c>
      <c r="H103" s="110" t="s">
        <v>769</v>
      </c>
      <c r="I103" s="113">
        <v>44988</v>
      </c>
      <c r="J103" s="110" t="s">
        <v>59</v>
      </c>
      <c r="K103" s="59" t="s">
        <v>60</v>
      </c>
      <c r="L103" s="59" t="s">
        <v>86</v>
      </c>
      <c r="M103" s="114" t="s">
        <v>820</v>
      </c>
      <c r="N103" s="59">
        <v>80161500</v>
      </c>
      <c r="O103" s="115" t="s">
        <v>732</v>
      </c>
      <c r="P103" s="115">
        <v>25000000</v>
      </c>
      <c r="Q103" s="115">
        <v>27500000</v>
      </c>
      <c r="R103" s="110">
        <v>23223</v>
      </c>
      <c r="S103" s="110" t="s">
        <v>89</v>
      </c>
      <c r="T103" s="59" t="s">
        <v>64</v>
      </c>
      <c r="U103" s="59" t="s">
        <v>65</v>
      </c>
      <c r="V103" s="59"/>
      <c r="W103" s="112" t="s">
        <v>834</v>
      </c>
      <c r="X103" s="59" t="s">
        <v>769</v>
      </c>
      <c r="Y103" s="116">
        <v>44993</v>
      </c>
      <c r="Z103" s="59" t="s">
        <v>60</v>
      </c>
      <c r="AA103" s="110"/>
      <c r="AB103" s="110" t="s">
        <v>822</v>
      </c>
      <c r="AC103" s="110" t="s">
        <v>823</v>
      </c>
      <c r="AD103" s="110" t="s">
        <v>835</v>
      </c>
      <c r="AE103" s="110">
        <v>1093766424</v>
      </c>
      <c r="AF103" s="59" t="s">
        <v>141</v>
      </c>
      <c r="AG103" s="117" t="s">
        <v>836</v>
      </c>
      <c r="AH103" s="59" t="s">
        <v>551</v>
      </c>
      <c r="AI103" s="59" t="s">
        <v>467</v>
      </c>
      <c r="AJ103" s="110" t="s">
        <v>517</v>
      </c>
      <c r="AK103" s="65">
        <v>33968</v>
      </c>
      <c r="AL103" s="118" t="e">
        <f ca="1">+YEAR(TODAY())-YEAR([3]!Tabla1[[#This Row],[FECHA DE NACIMIENTO]])</f>
        <v>#REF!</v>
      </c>
      <c r="AM103" s="59">
        <v>53923</v>
      </c>
      <c r="AN103" s="60">
        <v>44998</v>
      </c>
      <c r="AO103" s="115">
        <v>25000000</v>
      </c>
      <c r="AP103" s="110"/>
      <c r="AQ103" s="119"/>
      <c r="AR103" s="110"/>
      <c r="AS103" s="115">
        <v>25000000</v>
      </c>
      <c r="AT103" s="59" t="s">
        <v>75</v>
      </c>
      <c r="AU103" s="60">
        <v>44988</v>
      </c>
      <c r="AV103" s="59" t="s">
        <v>74</v>
      </c>
      <c r="AW103" s="60">
        <v>44999</v>
      </c>
      <c r="AX103" s="60">
        <v>45291</v>
      </c>
      <c r="AY103" s="58">
        <f t="shared" si="10"/>
        <v>292</v>
      </c>
      <c r="AZ103" s="120" t="s">
        <v>826</v>
      </c>
      <c r="BA103" s="59">
        <v>88151663</v>
      </c>
      <c r="BB103" s="115"/>
      <c r="BC103" s="112"/>
      <c r="BD103" s="110"/>
      <c r="BE103" s="112"/>
      <c r="BF103" s="110"/>
      <c r="BG103" s="112"/>
      <c r="BH103" s="115"/>
      <c r="BI103" s="112"/>
      <c r="BJ103" s="61" t="e">
        <f>([3]!Tabla1[[#This Row],[VALOR TOTAL CONTRATO + VF]]+[3]!Tabla1[[#This Row],[ADICION 1 ]]+[3]!Tabla1[[#This Row],[ADICION 2]]-[3]!Tabla1[[#This Row],[LIBERACION]])</f>
        <v>#REF!</v>
      </c>
      <c r="BK103" s="112"/>
      <c r="BL103" s="112"/>
      <c r="BM103" s="112"/>
      <c r="BN103" s="112"/>
      <c r="BO103" s="110"/>
      <c r="BP103" s="112"/>
      <c r="BQ103" s="112"/>
      <c r="BR103" s="115"/>
      <c r="BS103" s="112"/>
      <c r="BT103" s="59">
        <f t="shared" si="11"/>
        <v>292</v>
      </c>
      <c r="BU103" s="112"/>
      <c r="BV103" s="121"/>
    </row>
    <row r="104" spans="1:74" ht="15" customHeight="1" x14ac:dyDescent="0.25">
      <c r="A104" s="36" t="s">
        <v>459</v>
      </c>
      <c r="B104" s="37" t="s">
        <v>460</v>
      </c>
      <c r="C104" s="38" t="s">
        <v>54</v>
      </c>
      <c r="D104" s="42">
        <v>104</v>
      </c>
      <c r="E104" s="42" t="s">
        <v>345</v>
      </c>
      <c r="F104" s="70" t="s">
        <v>899</v>
      </c>
      <c r="G104" s="55" t="s">
        <v>900</v>
      </c>
      <c r="H104" s="42" t="s">
        <v>769</v>
      </c>
      <c r="I104" s="71">
        <v>44992</v>
      </c>
      <c r="J104" s="42" t="s">
        <v>59</v>
      </c>
      <c r="K104" s="42" t="s">
        <v>901</v>
      </c>
      <c r="L104" s="39" t="s">
        <v>313</v>
      </c>
      <c r="M104" s="70" t="s">
        <v>820</v>
      </c>
      <c r="N104" s="42">
        <v>80161500</v>
      </c>
      <c r="O104" s="50" t="s">
        <v>902</v>
      </c>
      <c r="P104" s="50">
        <v>25000000</v>
      </c>
      <c r="Q104" s="50">
        <v>25000000</v>
      </c>
      <c r="R104" s="42">
        <v>24123</v>
      </c>
      <c r="S104" s="42" t="s">
        <v>903</v>
      </c>
      <c r="T104" s="42" t="s">
        <v>64</v>
      </c>
      <c r="U104" s="39" t="s">
        <v>65</v>
      </c>
      <c r="V104" s="42" t="s">
        <v>517</v>
      </c>
      <c r="W104" s="55" t="s">
        <v>904</v>
      </c>
      <c r="X104" s="39" t="s">
        <v>769</v>
      </c>
      <c r="Y104" s="55">
        <v>44994</v>
      </c>
      <c r="Z104" s="42" t="s">
        <v>901</v>
      </c>
      <c r="AA104" s="42"/>
      <c r="AB104" s="42" t="s">
        <v>905</v>
      </c>
      <c r="AC104" s="42" t="s">
        <v>906</v>
      </c>
      <c r="AD104" s="42" t="s">
        <v>907</v>
      </c>
      <c r="AE104" s="42">
        <v>1093799482</v>
      </c>
      <c r="AF104" s="42" t="s">
        <v>517</v>
      </c>
      <c r="AG104" s="42" t="s">
        <v>908</v>
      </c>
      <c r="AH104" s="42"/>
      <c r="AI104" s="39"/>
      <c r="AJ104" s="39"/>
      <c r="AK104" s="55">
        <v>36296</v>
      </c>
      <c r="AL104" s="52" t="e">
        <f ca="1">+YEAR(TODAY())-YEAR([8]!Tabla1[[#This Row],[FECHA DE NACIMIENTO]])</f>
        <v>#REF!</v>
      </c>
      <c r="AM104" s="39">
        <v>53823</v>
      </c>
      <c r="AN104" s="55">
        <v>44995</v>
      </c>
      <c r="AO104" s="50">
        <v>25000000</v>
      </c>
      <c r="AP104" s="42"/>
      <c r="AQ104" s="53"/>
      <c r="AR104" s="42"/>
      <c r="AS104" s="122">
        <v>25000000</v>
      </c>
      <c r="AT104" s="42" t="s">
        <v>297</v>
      </c>
      <c r="AU104" s="55">
        <v>45000</v>
      </c>
      <c r="AV104" s="55" t="s">
        <v>74</v>
      </c>
      <c r="AW104" s="55">
        <v>45001</v>
      </c>
      <c r="AX104" s="55">
        <v>45291</v>
      </c>
      <c r="AY104" s="38">
        <f t="shared" si="10"/>
        <v>290</v>
      </c>
      <c r="AZ104" s="50" t="s">
        <v>909</v>
      </c>
      <c r="BA104" s="39">
        <v>88151663</v>
      </c>
      <c r="BB104" s="50"/>
      <c r="BC104" s="55"/>
      <c r="BD104" s="42"/>
      <c r="BE104" s="55"/>
      <c r="BF104" s="42"/>
      <c r="BG104" s="55"/>
      <c r="BH104" s="50"/>
      <c r="BI104" s="55"/>
      <c r="BJ104" s="41" t="e">
        <f>([8]!Tabla1[[#This Row],[VALOR TOTAL CONTRATO + VF]]+[8]!Tabla1[[#This Row],[ADICION 1 ]]+[8]!Tabla1[[#This Row],[ADICION 2]]-[8]!Tabla1[[#This Row],[LIBERACION]])</f>
        <v>#REF!</v>
      </c>
      <c r="BK104" s="55"/>
      <c r="BL104" s="55"/>
      <c r="BM104" s="55"/>
      <c r="BN104" s="55"/>
      <c r="BO104" s="42"/>
      <c r="BP104" s="55"/>
      <c r="BQ104" s="55"/>
      <c r="BR104" s="50"/>
      <c r="BS104" s="55"/>
      <c r="BT104" s="39">
        <f t="shared" si="11"/>
        <v>290</v>
      </c>
      <c r="BU104" s="55"/>
      <c r="BV104" s="54"/>
    </row>
    <row r="105" spans="1:74" ht="15" customHeight="1" x14ac:dyDescent="0.25">
      <c r="A105" s="36" t="s">
        <v>459</v>
      </c>
      <c r="B105" s="37" t="s">
        <v>460</v>
      </c>
      <c r="C105" s="38" t="s">
        <v>54</v>
      </c>
      <c r="D105" s="42">
        <v>105</v>
      </c>
      <c r="E105" s="42" t="s">
        <v>345</v>
      </c>
      <c r="F105" s="70" t="s">
        <v>910</v>
      </c>
      <c r="G105" s="55" t="s">
        <v>911</v>
      </c>
      <c r="H105" s="42" t="s">
        <v>769</v>
      </c>
      <c r="I105" s="71">
        <v>44992</v>
      </c>
      <c r="J105" s="42" t="s">
        <v>59</v>
      </c>
      <c r="K105" s="42" t="s">
        <v>901</v>
      </c>
      <c r="L105" s="39" t="s">
        <v>313</v>
      </c>
      <c r="M105" s="70" t="s">
        <v>820</v>
      </c>
      <c r="N105" s="42">
        <v>80161500</v>
      </c>
      <c r="O105" s="50" t="s">
        <v>902</v>
      </c>
      <c r="P105" s="50">
        <v>25000000</v>
      </c>
      <c r="Q105" s="50">
        <v>25000000</v>
      </c>
      <c r="R105" s="42">
        <v>24023</v>
      </c>
      <c r="S105" s="42" t="s">
        <v>89</v>
      </c>
      <c r="T105" s="42" t="s">
        <v>64</v>
      </c>
      <c r="U105" s="39" t="s">
        <v>65</v>
      </c>
      <c r="V105" s="42" t="s">
        <v>517</v>
      </c>
      <c r="W105" s="55" t="s">
        <v>912</v>
      </c>
      <c r="X105" s="39" t="s">
        <v>769</v>
      </c>
      <c r="Y105" s="55">
        <v>44994</v>
      </c>
      <c r="Z105" s="42" t="s">
        <v>901</v>
      </c>
      <c r="AA105" s="42"/>
      <c r="AB105" s="42" t="s">
        <v>905</v>
      </c>
      <c r="AC105" s="42" t="s">
        <v>906</v>
      </c>
      <c r="AD105" s="42" t="s">
        <v>913</v>
      </c>
      <c r="AE105" s="42">
        <v>1093767483</v>
      </c>
      <c r="AF105" s="42" t="s">
        <v>517</v>
      </c>
      <c r="AG105" s="42" t="s">
        <v>914</v>
      </c>
      <c r="AH105" s="42"/>
      <c r="AI105" s="39"/>
      <c r="AJ105" s="39"/>
      <c r="AK105" s="55">
        <v>34074</v>
      </c>
      <c r="AL105" s="52" t="e">
        <f ca="1">+YEAR(TODAY())-YEAR([8]!Tabla1[[#This Row],[FECHA DE NACIMIENTO]])</f>
        <v>#REF!</v>
      </c>
      <c r="AM105" s="39">
        <v>53723</v>
      </c>
      <c r="AN105" s="55">
        <v>44995</v>
      </c>
      <c r="AO105" s="50">
        <v>25000000</v>
      </c>
      <c r="AP105" s="42"/>
      <c r="AQ105" s="53"/>
      <c r="AR105" s="42"/>
      <c r="AS105" s="122">
        <v>25000000</v>
      </c>
      <c r="AT105" s="42" t="s">
        <v>297</v>
      </c>
      <c r="AU105" s="55">
        <v>44994</v>
      </c>
      <c r="AV105" s="55" t="s">
        <v>74</v>
      </c>
      <c r="AW105" s="55">
        <v>44998</v>
      </c>
      <c r="AX105" s="55">
        <v>45291</v>
      </c>
      <c r="AY105" s="38">
        <f t="shared" si="10"/>
        <v>293</v>
      </c>
      <c r="AZ105" s="50" t="s">
        <v>909</v>
      </c>
      <c r="BA105" s="39">
        <v>88151663</v>
      </c>
      <c r="BB105" s="50"/>
      <c r="BC105" s="55"/>
      <c r="BD105" s="42"/>
      <c r="BE105" s="55"/>
      <c r="BF105" s="42"/>
      <c r="BG105" s="55"/>
      <c r="BH105" s="50"/>
      <c r="BI105" s="55"/>
      <c r="BJ105" s="41" t="e">
        <f>([8]!Tabla1[[#This Row],[VALOR TOTAL CONTRATO + VF]]+[8]!Tabla1[[#This Row],[ADICION 1 ]]+[8]!Tabla1[[#This Row],[ADICION 2]]-[8]!Tabla1[[#This Row],[LIBERACION]])</f>
        <v>#REF!</v>
      </c>
      <c r="BK105" s="55"/>
      <c r="BL105" s="55"/>
      <c r="BM105" s="55"/>
      <c r="BN105" s="55"/>
      <c r="BO105" s="42"/>
      <c r="BP105" s="55"/>
      <c r="BQ105" s="55"/>
      <c r="BR105" s="50"/>
      <c r="BS105" s="55"/>
      <c r="BT105" s="39">
        <f t="shared" si="11"/>
        <v>293</v>
      </c>
      <c r="BU105" s="55"/>
      <c r="BV105" s="54"/>
    </row>
    <row r="106" spans="1:74" ht="15" customHeight="1" x14ac:dyDescent="0.25">
      <c r="A106" s="36" t="s">
        <v>459</v>
      </c>
      <c r="B106" s="37" t="s">
        <v>460</v>
      </c>
      <c r="C106" s="38" t="s">
        <v>54</v>
      </c>
      <c r="D106" s="42">
        <v>106</v>
      </c>
      <c r="E106" s="42" t="s">
        <v>345</v>
      </c>
      <c r="F106" s="70" t="s">
        <v>915</v>
      </c>
      <c r="G106" s="55" t="s">
        <v>916</v>
      </c>
      <c r="H106" s="42" t="s">
        <v>769</v>
      </c>
      <c r="I106" s="71">
        <v>44992</v>
      </c>
      <c r="J106" s="42" t="s">
        <v>59</v>
      </c>
      <c r="K106" s="42" t="s">
        <v>901</v>
      </c>
      <c r="L106" s="39" t="s">
        <v>313</v>
      </c>
      <c r="M106" s="70" t="s">
        <v>820</v>
      </c>
      <c r="N106" s="42">
        <v>80161500</v>
      </c>
      <c r="O106" s="50" t="s">
        <v>902</v>
      </c>
      <c r="P106" s="50">
        <v>25000000</v>
      </c>
      <c r="Q106" s="50">
        <v>25000000</v>
      </c>
      <c r="R106" s="42">
        <v>23923</v>
      </c>
      <c r="S106" s="42" t="s">
        <v>903</v>
      </c>
      <c r="T106" s="42" t="s">
        <v>64</v>
      </c>
      <c r="U106" s="39" t="s">
        <v>65</v>
      </c>
      <c r="V106" s="42" t="s">
        <v>517</v>
      </c>
      <c r="W106" s="55" t="s">
        <v>917</v>
      </c>
      <c r="X106" s="39" t="s">
        <v>769</v>
      </c>
      <c r="Y106" s="55">
        <v>44993</v>
      </c>
      <c r="Z106" s="42" t="s">
        <v>901</v>
      </c>
      <c r="AA106" s="42"/>
      <c r="AB106" s="42" t="s">
        <v>905</v>
      </c>
      <c r="AC106" s="42" t="s">
        <v>906</v>
      </c>
      <c r="AD106" s="42" t="s">
        <v>918</v>
      </c>
      <c r="AE106" s="42">
        <v>1005000669</v>
      </c>
      <c r="AF106" s="42" t="s">
        <v>517</v>
      </c>
      <c r="AG106" s="42" t="s">
        <v>919</v>
      </c>
      <c r="AH106" s="42"/>
      <c r="AI106" s="39"/>
      <c r="AJ106" s="39"/>
      <c r="AK106" s="55">
        <v>36930</v>
      </c>
      <c r="AL106" s="52" t="e">
        <f ca="1">+YEAR(TODAY())-YEAR([8]!Tabla1[[#This Row],[FECHA DE NACIMIENTO]])</f>
        <v>#REF!</v>
      </c>
      <c r="AM106" s="39">
        <v>52423</v>
      </c>
      <c r="AN106" s="55">
        <v>44994</v>
      </c>
      <c r="AO106" s="50">
        <v>25000000</v>
      </c>
      <c r="AP106" s="42"/>
      <c r="AQ106" s="53"/>
      <c r="AR106" s="42"/>
      <c r="AS106" s="122">
        <v>25000000</v>
      </c>
      <c r="AT106" s="42" t="s">
        <v>297</v>
      </c>
      <c r="AU106" s="55">
        <v>45000</v>
      </c>
      <c r="AV106" s="55" t="s">
        <v>74</v>
      </c>
      <c r="AW106" s="55">
        <v>45001</v>
      </c>
      <c r="AX106" s="55">
        <v>45291</v>
      </c>
      <c r="AY106" s="38">
        <f t="shared" si="10"/>
        <v>290</v>
      </c>
      <c r="AZ106" s="50" t="s">
        <v>909</v>
      </c>
      <c r="BA106" s="39">
        <v>88151663</v>
      </c>
      <c r="BB106" s="50"/>
      <c r="BC106" s="55"/>
      <c r="BD106" s="42"/>
      <c r="BE106" s="55"/>
      <c r="BF106" s="42"/>
      <c r="BG106" s="55"/>
      <c r="BH106" s="50"/>
      <c r="BI106" s="55"/>
      <c r="BJ106" s="41" t="e">
        <f>([8]!Tabla1[[#This Row],[VALOR TOTAL CONTRATO + VF]]+[8]!Tabla1[[#This Row],[ADICION 1 ]]+[8]!Tabla1[[#This Row],[ADICION 2]]-[8]!Tabla1[[#This Row],[LIBERACION]])</f>
        <v>#REF!</v>
      </c>
      <c r="BK106" s="55"/>
      <c r="BL106" s="55"/>
      <c r="BM106" s="55"/>
      <c r="BN106" s="55"/>
      <c r="BO106" s="42"/>
      <c r="BP106" s="55"/>
      <c r="BQ106" s="55"/>
      <c r="BR106" s="50"/>
      <c r="BS106" s="55"/>
      <c r="BT106" s="39">
        <f t="shared" si="11"/>
        <v>290</v>
      </c>
      <c r="BU106" s="55"/>
      <c r="BV106" s="54"/>
    </row>
    <row r="107" spans="1:74" ht="15" customHeight="1" x14ac:dyDescent="0.25">
      <c r="A107" s="36" t="s">
        <v>459</v>
      </c>
      <c r="B107" s="37" t="s">
        <v>460</v>
      </c>
      <c r="C107" s="38" t="s">
        <v>54</v>
      </c>
      <c r="D107" s="42">
        <v>107</v>
      </c>
      <c r="E107" s="42" t="s">
        <v>345</v>
      </c>
      <c r="F107" s="70" t="s">
        <v>920</v>
      </c>
      <c r="G107" s="55" t="s">
        <v>921</v>
      </c>
      <c r="H107" s="42" t="s">
        <v>769</v>
      </c>
      <c r="I107" s="71">
        <v>44992</v>
      </c>
      <c r="J107" s="42" t="s">
        <v>59</v>
      </c>
      <c r="K107" s="42" t="s">
        <v>901</v>
      </c>
      <c r="L107" s="39" t="s">
        <v>313</v>
      </c>
      <c r="M107" s="70" t="s">
        <v>820</v>
      </c>
      <c r="N107" s="42">
        <v>80161500</v>
      </c>
      <c r="O107" s="50" t="s">
        <v>902</v>
      </c>
      <c r="P107" s="50">
        <v>25000000</v>
      </c>
      <c r="Q107" s="50">
        <v>25000000</v>
      </c>
      <c r="R107" s="42">
        <v>23823</v>
      </c>
      <c r="S107" s="42" t="s">
        <v>903</v>
      </c>
      <c r="T107" s="42" t="s">
        <v>64</v>
      </c>
      <c r="U107" s="39" t="s">
        <v>65</v>
      </c>
      <c r="V107" s="42" t="s">
        <v>517</v>
      </c>
      <c r="W107" s="55" t="s">
        <v>922</v>
      </c>
      <c r="X107" s="39" t="s">
        <v>769</v>
      </c>
      <c r="Y107" s="55">
        <v>44994</v>
      </c>
      <c r="Z107" s="42" t="s">
        <v>901</v>
      </c>
      <c r="AA107" s="42"/>
      <c r="AB107" s="42" t="s">
        <v>905</v>
      </c>
      <c r="AC107" s="42" t="s">
        <v>906</v>
      </c>
      <c r="AD107" s="42" t="s">
        <v>923</v>
      </c>
      <c r="AE107" s="42">
        <v>1090431962</v>
      </c>
      <c r="AF107" s="42" t="s">
        <v>517</v>
      </c>
      <c r="AG107" s="42" t="s">
        <v>908</v>
      </c>
      <c r="AH107" s="42"/>
      <c r="AI107" s="39"/>
      <c r="AJ107" s="39"/>
      <c r="AK107" s="55">
        <v>33320</v>
      </c>
      <c r="AL107" s="52" t="e">
        <f ca="1">+YEAR(TODAY())-YEAR([8]!Tabla1[[#This Row],[FECHA DE NACIMIENTO]])</f>
        <v>#REF!</v>
      </c>
      <c r="AM107" s="39">
        <v>54823</v>
      </c>
      <c r="AN107" s="55">
        <v>44999</v>
      </c>
      <c r="AO107" s="50">
        <v>25000000</v>
      </c>
      <c r="AP107" s="42"/>
      <c r="AQ107" s="53"/>
      <c r="AR107" s="42"/>
      <c r="AS107" s="122">
        <v>25000000</v>
      </c>
      <c r="AT107" s="42" t="s">
        <v>297</v>
      </c>
      <c r="AU107" s="55">
        <v>44998</v>
      </c>
      <c r="AV107" s="55" t="s">
        <v>74</v>
      </c>
      <c r="AW107" s="55">
        <v>45001</v>
      </c>
      <c r="AX107" s="55">
        <v>45291</v>
      </c>
      <c r="AY107" s="38">
        <f t="shared" si="10"/>
        <v>290</v>
      </c>
      <c r="AZ107" s="50" t="s">
        <v>909</v>
      </c>
      <c r="BA107" s="39">
        <v>88151663</v>
      </c>
      <c r="BB107" s="50"/>
      <c r="BC107" s="55"/>
      <c r="BD107" s="42"/>
      <c r="BE107" s="55"/>
      <c r="BF107" s="42"/>
      <c r="BG107" s="55"/>
      <c r="BH107" s="50"/>
      <c r="BI107" s="55"/>
      <c r="BJ107" s="41" t="e">
        <f>([8]!Tabla1[[#This Row],[VALOR TOTAL CONTRATO + VF]]+[8]!Tabla1[[#This Row],[ADICION 1 ]]+[8]!Tabla1[[#This Row],[ADICION 2]]-[8]!Tabla1[[#This Row],[LIBERACION]])</f>
        <v>#REF!</v>
      </c>
      <c r="BK107" s="55"/>
      <c r="BL107" s="55"/>
      <c r="BM107" s="55"/>
      <c r="BN107" s="55"/>
      <c r="BO107" s="42"/>
      <c r="BP107" s="55"/>
      <c r="BQ107" s="55"/>
      <c r="BR107" s="50"/>
      <c r="BS107" s="55"/>
      <c r="BT107" s="39">
        <f t="shared" si="11"/>
        <v>290</v>
      </c>
      <c r="BU107" s="55"/>
      <c r="BV107" s="54"/>
    </row>
    <row r="108" spans="1:74" ht="15" customHeight="1" x14ac:dyDescent="0.25">
      <c r="A108" s="36" t="s">
        <v>459</v>
      </c>
      <c r="B108" s="37" t="s">
        <v>460</v>
      </c>
      <c r="C108" s="38" t="s">
        <v>54</v>
      </c>
      <c r="D108" s="42">
        <v>102</v>
      </c>
      <c r="E108" s="39" t="s">
        <v>344</v>
      </c>
      <c r="F108" s="42" t="s">
        <v>992</v>
      </c>
      <c r="G108" s="55" t="s">
        <v>993</v>
      </c>
      <c r="H108" s="42" t="s">
        <v>769</v>
      </c>
      <c r="I108" s="68">
        <v>44992</v>
      </c>
      <c r="J108" s="39" t="s">
        <v>59</v>
      </c>
      <c r="K108" s="39" t="s">
        <v>995</v>
      </c>
      <c r="L108" s="39" t="s">
        <v>225</v>
      </c>
      <c r="M108" s="39" t="s">
        <v>996</v>
      </c>
      <c r="N108" s="42">
        <v>801615</v>
      </c>
      <c r="O108" s="50" t="s">
        <v>997</v>
      </c>
      <c r="P108" s="50">
        <v>25000000</v>
      </c>
      <c r="Q108" s="50">
        <v>25000000</v>
      </c>
      <c r="R108" s="42">
        <v>24223</v>
      </c>
      <c r="S108" s="42" t="s">
        <v>89</v>
      </c>
      <c r="T108" s="42" t="s">
        <v>64</v>
      </c>
      <c r="U108" s="42" t="s">
        <v>65</v>
      </c>
      <c r="V108" s="42"/>
      <c r="W108" s="55" t="s">
        <v>998</v>
      </c>
      <c r="X108" s="42" t="s">
        <v>994</v>
      </c>
      <c r="Y108" s="43">
        <v>44993</v>
      </c>
      <c r="Z108" s="39" t="s">
        <v>995</v>
      </c>
      <c r="AA108" s="42"/>
      <c r="AB108" s="42" t="s">
        <v>999</v>
      </c>
      <c r="AC108" s="42" t="s">
        <v>1000</v>
      </c>
      <c r="AD108" s="42" t="s">
        <v>1001</v>
      </c>
      <c r="AE108" s="42">
        <v>1090401426</v>
      </c>
      <c r="AF108" s="42"/>
      <c r="AG108" s="39" t="s">
        <v>517</v>
      </c>
      <c r="AH108" s="39" t="s">
        <v>551</v>
      </c>
      <c r="AI108" s="39"/>
      <c r="AJ108" s="39"/>
      <c r="AK108" s="42"/>
      <c r="AL108" s="52" t="e">
        <f ca="1">+YEAR(TODAY())-YEAR([7]!Tabla1[[#This Row],[FECHA DE NACIMIENTO]])</f>
        <v>#REF!</v>
      </c>
      <c r="AM108" s="42">
        <v>46523</v>
      </c>
      <c r="AN108" s="43">
        <v>44992</v>
      </c>
      <c r="AO108" s="50">
        <v>25000000</v>
      </c>
      <c r="AP108" s="42"/>
      <c r="AQ108" s="53"/>
      <c r="AR108" s="42"/>
      <c r="AS108" s="122">
        <v>25000000</v>
      </c>
      <c r="AT108" s="39" t="s">
        <v>297</v>
      </c>
      <c r="AU108" s="43">
        <v>44993</v>
      </c>
      <c r="AV108" s="46" t="s">
        <v>74</v>
      </c>
      <c r="AW108" s="43">
        <v>45001</v>
      </c>
      <c r="AX108" s="43">
        <v>45291</v>
      </c>
      <c r="AY108" s="37">
        <v>290</v>
      </c>
      <c r="AZ108" s="50" t="s">
        <v>826</v>
      </c>
      <c r="BA108" s="39">
        <v>88151663</v>
      </c>
      <c r="BB108" s="50"/>
      <c r="BC108" s="55"/>
      <c r="BD108" s="42"/>
      <c r="BE108" s="55"/>
      <c r="BF108" s="42"/>
      <c r="BG108" s="55"/>
      <c r="BH108" s="50"/>
      <c r="BI108" s="55"/>
      <c r="BJ108" s="50">
        <v>25000000</v>
      </c>
      <c r="BK108" s="55"/>
      <c r="BL108" s="55"/>
      <c r="BM108" s="55"/>
      <c r="BN108" s="55"/>
      <c r="BO108" s="42"/>
      <c r="BP108" s="55"/>
      <c r="BQ108" s="55"/>
      <c r="BR108" s="50"/>
      <c r="BS108" s="55"/>
      <c r="BT108" s="42">
        <v>290</v>
      </c>
      <c r="BU108" s="55"/>
      <c r="BV108" s="54"/>
    </row>
    <row r="109" spans="1:74" ht="15" customHeight="1" x14ac:dyDescent="0.25">
      <c r="A109" s="36" t="s">
        <v>459</v>
      </c>
      <c r="B109" s="37" t="s">
        <v>460</v>
      </c>
      <c r="C109" s="38" t="s">
        <v>54</v>
      </c>
      <c r="D109" s="42">
        <v>103</v>
      </c>
      <c r="E109" s="39" t="s">
        <v>344</v>
      </c>
      <c r="F109" s="42" t="s">
        <v>1002</v>
      </c>
      <c r="G109" s="55" t="s">
        <v>1003</v>
      </c>
      <c r="H109" s="42" t="s">
        <v>769</v>
      </c>
      <c r="I109" s="68">
        <v>44993</v>
      </c>
      <c r="J109" s="39" t="s">
        <v>59</v>
      </c>
      <c r="K109" s="39" t="s">
        <v>995</v>
      </c>
      <c r="L109" s="39" t="s">
        <v>225</v>
      </c>
      <c r="M109" s="39" t="s">
        <v>996</v>
      </c>
      <c r="N109" s="42">
        <v>801615</v>
      </c>
      <c r="O109" s="50" t="s">
        <v>997</v>
      </c>
      <c r="P109" s="50">
        <v>25000000</v>
      </c>
      <c r="Q109" s="50">
        <v>25000000</v>
      </c>
      <c r="R109" s="42">
        <v>24323</v>
      </c>
      <c r="S109" s="42" t="s">
        <v>89</v>
      </c>
      <c r="T109" s="42" t="s">
        <v>64</v>
      </c>
      <c r="U109" s="42" t="s">
        <v>65</v>
      </c>
      <c r="V109" s="42"/>
      <c r="W109" s="55" t="s">
        <v>1004</v>
      </c>
      <c r="X109" s="42" t="s">
        <v>994</v>
      </c>
      <c r="Y109" s="43">
        <v>44994</v>
      </c>
      <c r="Z109" s="39" t="s">
        <v>995</v>
      </c>
      <c r="AA109" s="42"/>
      <c r="AB109" s="42" t="s">
        <v>999</v>
      </c>
      <c r="AC109" s="42" t="s">
        <v>1000</v>
      </c>
      <c r="AD109" s="42" t="s">
        <v>1005</v>
      </c>
      <c r="AE109" s="42">
        <v>1092349877</v>
      </c>
      <c r="AF109" s="42"/>
      <c r="AG109" s="39" t="s">
        <v>517</v>
      </c>
      <c r="AH109" s="39" t="s">
        <v>551</v>
      </c>
      <c r="AI109" s="39"/>
      <c r="AJ109" s="39"/>
      <c r="AK109" s="42"/>
      <c r="AL109" s="52" t="e">
        <f ca="1">+YEAR(TODAY())-YEAR([7]!Tabla1[[#This Row],[FECHA DE NACIMIENTO]])</f>
        <v>#REF!</v>
      </c>
      <c r="AM109" s="42">
        <v>46923</v>
      </c>
      <c r="AN109" s="43">
        <v>44993</v>
      </c>
      <c r="AO109" s="50">
        <v>25000000</v>
      </c>
      <c r="AP109" s="42"/>
      <c r="AQ109" s="53"/>
      <c r="AR109" s="42"/>
      <c r="AS109" s="122">
        <v>25000000</v>
      </c>
      <c r="AT109" s="39" t="s">
        <v>297</v>
      </c>
      <c r="AU109" s="43">
        <v>44995</v>
      </c>
      <c r="AV109" s="46" t="s">
        <v>74</v>
      </c>
      <c r="AW109" s="43">
        <v>45001</v>
      </c>
      <c r="AX109" s="43">
        <v>45291</v>
      </c>
      <c r="AY109" s="37">
        <v>290</v>
      </c>
      <c r="AZ109" s="50" t="s">
        <v>826</v>
      </c>
      <c r="BA109" s="39">
        <v>88151663</v>
      </c>
      <c r="BB109" s="50"/>
      <c r="BC109" s="55"/>
      <c r="BD109" s="42"/>
      <c r="BE109" s="55"/>
      <c r="BF109" s="42"/>
      <c r="BG109" s="55"/>
      <c r="BH109" s="50"/>
      <c r="BI109" s="55"/>
      <c r="BJ109" s="50">
        <v>25000000</v>
      </c>
      <c r="BK109" s="55"/>
      <c r="BL109" s="55"/>
      <c r="BM109" s="55"/>
      <c r="BN109" s="55"/>
      <c r="BO109" s="42"/>
      <c r="BP109" s="55"/>
      <c r="BQ109" s="55"/>
      <c r="BR109" s="50"/>
      <c r="BS109" s="55"/>
      <c r="BT109" s="42">
        <v>290</v>
      </c>
      <c r="BU109" s="55"/>
      <c r="BV109" s="54"/>
    </row>
    <row r="110" spans="1:74" ht="15" customHeight="1" x14ac:dyDescent="0.25">
      <c r="A110" s="36" t="s">
        <v>459</v>
      </c>
      <c r="B110" s="37" t="s">
        <v>460</v>
      </c>
      <c r="C110" s="38" t="s">
        <v>54</v>
      </c>
      <c r="D110" s="42">
        <v>108</v>
      </c>
      <c r="E110" s="39" t="s">
        <v>344</v>
      </c>
      <c r="F110" s="42" t="s">
        <v>1006</v>
      </c>
      <c r="G110" s="55" t="s">
        <v>1007</v>
      </c>
      <c r="H110" s="42" t="s">
        <v>769</v>
      </c>
      <c r="I110" s="68">
        <v>44993</v>
      </c>
      <c r="J110" s="39" t="s">
        <v>59</v>
      </c>
      <c r="K110" s="39" t="s">
        <v>995</v>
      </c>
      <c r="L110" s="39" t="s">
        <v>225</v>
      </c>
      <c r="M110" s="39" t="s">
        <v>996</v>
      </c>
      <c r="N110" s="42">
        <v>801615</v>
      </c>
      <c r="O110" s="50" t="s">
        <v>997</v>
      </c>
      <c r="P110" s="50">
        <v>25000000</v>
      </c>
      <c r="Q110" s="50">
        <v>25000000</v>
      </c>
      <c r="R110" s="42">
        <v>23723</v>
      </c>
      <c r="S110" s="42" t="s">
        <v>89</v>
      </c>
      <c r="T110" s="42" t="s">
        <v>64</v>
      </c>
      <c r="U110" s="42" t="s">
        <v>65</v>
      </c>
      <c r="V110" s="42"/>
      <c r="W110" s="55" t="s">
        <v>1008</v>
      </c>
      <c r="X110" s="42" t="s">
        <v>994</v>
      </c>
      <c r="Y110" s="43">
        <v>44995</v>
      </c>
      <c r="Z110" s="39" t="s">
        <v>995</v>
      </c>
      <c r="AA110" s="42"/>
      <c r="AB110" s="42" t="s">
        <v>999</v>
      </c>
      <c r="AC110" s="42" t="s">
        <v>1000</v>
      </c>
      <c r="AD110" s="42" t="s">
        <v>1009</v>
      </c>
      <c r="AE110" s="42">
        <v>1093914971</v>
      </c>
      <c r="AF110" s="42"/>
      <c r="AG110" s="39" t="s">
        <v>517</v>
      </c>
      <c r="AH110" s="39" t="s">
        <v>551</v>
      </c>
      <c r="AI110" s="39"/>
      <c r="AJ110" s="39"/>
      <c r="AK110" s="42"/>
      <c r="AL110" s="52" t="e">
        <f ca="1">+YEAR(TODAY())-YEAR([7]!Tabla1[[#This Row],[FECHA DE NACIMIENTO]])</f>
        <v>#REF!</v>
      </c>
      <c r="AM110" s="42">
        <v>47023</v>
      </c>
      <c r="AN110" s="43">
        <v>44993</v>
      </c>
      <c r="AO110" s="50">
        <v>25000000</v>
      </c>
      <c r="AP110" s="42"/>
      <c r="AQ110" s="53"/>
      <c r="AR110" s="42"/>
      <c r="AS110" s="122">
        <v>25000000</v>
      </c>
      <c r="AT110" s="39" t="s">
        <v>297</v>
      </c>
      <c r="AU110" s="43">
        <v>44999</v>
      </c>
      <c r="AV110" s="46" t="s">
        <v>74</v>
      </c>
      <c r="AW110" s="43">
        <v>45001</v>
      </c>
      <c r="AX110" s="43">
        <v>45291</v>
      </c>
      <c r="AY110" s="37">
        <v>290</v>
      </c>
      <c r="AZ110" s="50" t="s">
        <v>826</v>
      </c>
      <c r="BA110" s="39">
        <v>88151663</v>
      </c>
      <c r="BB110" s="50"/>
      <c r="BC110" s="55"/>
      <c r="BD110" s="42"/>
      <c r="BE110" s="55"/>
      <c r="BF110" s="42"/>
      <c r="BG110" s="55"/>
      <c r="BH110" s="50"/>
      <c r="BI110" s="55"/>
      <c r="BJ110" s="50">
        <v>25000000</v>
      </c>
      <c r="BK110" s="55"/>
      <c r="BL110" s="55"/>
      <c r="BM110" s="55"/>
      <c r="BN110" s="55"/>
      <c r="BO110" s="42"/>
      <c r="BP110" s="55"/>
      <c r="BQ110" s="55"/>
      <c r="BR110" s="50"/>
      <c r="BS110" s="55"/>
      <c r="BT110" s="42">
        <v>290</v>
      </c>
      <c r="BU110" s="55"/>
      <c r="BV110" s="54"/>
    </row>
    <row r="111" spans="1:74" ht="15" customHeight="1" x14ac:dyDescent="0.25">
      <c r="A111" s="36" t="s">
        <v>459</v>
      </c>
      <c r="B111" s="37" t="s">
        <v>460</v>
      </c>
      <c r="C111" s="38" t="s">
        <v>54</v>
      </c>
      <c r="D111" s="42">
        <v>110</v>
      </c>
      <c r="E111" s="39" t="s">
        <v>344</v>
      </c>
      <c r="F111" s="42" t="s">
        <v>1014</v>
      </c>
      <c r="G111" s="55" t="s">
        <v>1015</v>
      </c>
      <c r="H111" s="42" t="s">
        <v>769</v>
      </c>
      <c r="I111" s="68">
        <v>44993</v>
      </c>
      <c r="J111" s="39" t="s">
        <v>59</v>
      </c>
      <c r="K111" s="39" t="s">
        <v>995</v>
      </c>
      <c r="L111" s="39" t="s">
        <v>225</v>
      </c>
      <c r="M111" s="39" t="s">
        <v>996</v>
      </c>
      <c r="N111" s="42">
        <v>801615</v>
      </c>
      <c r="O111" s="50" t="s">
        <v>997</v>
      </c>
      <c r="P111" s="50">
        <v>25000000</v>
      </c>
      <c r="Q111" s="50">
        <v>25000000</v>
      </c>
      <c r="R111" s="42">
        <v>23523</v>
      </c>
      <c r="S111" s="42" t="s">
        <v>89</v>
      </c>
      <c r="T111" s="42" t="s">
        <v>64</v>
      </c>
      <c r="U111" s="42" t="s">
        <v>65</v>
      </c>
      <c r="V111" s="42"/>
      <c r="W111" s="55" t="s">
        <v>1016</v>
      </c>
      <c r="X111" s="42" t="s">
        <v>994</v>
      </c>
      <c r="Y111" s="43">
        <v>44994</v>
      </c>
      <c r="Z111" s="39" t="s">
        <v>995</v>
      </c>
      <c r="AA111" s="42"/>
      <c r="AB111" s="42" t="s">
        <v>999</v>
      </c>
      <c r="AC111" s="42" t="s">
        <v>1000</v>
      </c>
      <c r="AD111" s="42" t="s">
        <v>1017</v>
      </c>
      <c r="AE111" s="42">
        <v>1090481286</v>
      </c>
      <c r="AF111" s="42"/>
      <c r="AG111" s="39" t="s">
        <v>517</v>
      </c>
      <c r="AH111" s="39" t="s">
        <v>551</v>
      </c>
      <c r="AI111" s="39"/>
      <c r="AJ111" s="39"/>
      <c r="AK111" s="42"/>
      <c r="AL111" s="52" t="e">
        <f ca="1">+YEAR(TODAY())-YEAR([7]!Tabla1[[#This Row],[FECHA DE NACIMIENTO]])</f>
        <v>#REF!</v>
      </c>
      <c r="AM111" s="42">
        <v>47223</v>
      </c>
      <c r="AN111" s="43">
        <v>44993</v>
      </c>
      <c r="AO111" s="50">
        <v>25000000</v>
      </c>
      <c r="AP111" s="42"/>
      <c r="AQ111" s="53"/>
      <c r="AR111" s="42"/>
      <c r="AS111" s="122">
        <v>25000000</v>
      </c>
      <c r="AT111" s="39" t="s">
        <v>297</v>
      </c>
      <c r="AU111" s="43">
        <v>44994</v>
      </c>
      <c r="AV111" s="46" t="s">
        <v>74</v>
      </c>
      <c r="AW111" s="43">
        <v>45000</v>
      </c>
      <c r="AX111" s="43">
        <v>45291</v>
      </c>
      <c r="AY111" s="37">
        <v>291</v>
      </c>
      <c r="AZ111" s="50" t="s">
        <v>826</v>
      </c>
      <c r="BA111" s="39">
        <v>88151663</v>
      </c>
      <c r="BB111" s="50"/>
      <c r="BC111" s="55"/>
      <c r="BD111" s="42"/>
      <c r="BE111" s="55"/>
      <c r="BF111" s="42"/>
      <c r="BG111" s="55"/>
      <c r="BH111" s="50"/>
      <c r="BI111" s="55"/>
      <c r="BJ111" s="50">
        <v>25000000</v>
      </c>
      <c r="BK111" s="55"/>
      <c r="BL111" s="55"/>
      <c r="BM111" s="55"/>
      <c r="BN111" s="55"/>
      <c r="BO111" s="42"/>
      <c r="BP111" s="55"/>
      <c r="BQ111" s="55"/>
      <c r="BR111" s="50"/>
      <c r="BS111" s="55"/>
      <c r="BT111" s="42">
        <v>291</v>
      </c>
      <c r="BU111" s="55"/>
      <c r="BV111" s="54"/>
    </row>
    <row r="112" spans="1:74" ht="15" customHeight="1" x14ac:dyDescent="0.25">
      <c r="A112" s="123" t="s">
        <v>459</v>
      </c>
      <c r="B112" s="124" t="s">
        <v>460</v>
      </c>
      <c r="C112" s="124" t="s">
        <v>54</v>
      </c>
      <c r="D112" s="42">
        <v>153</v>
      </c>
      <c r="E112" s="39" t="s">
        <v>409</v>
      </c>
      <c r="F112" s="125" t="s">
        <v>1109</v>
      </c>
      <c r="G112" s="126" t="s">
        <v>1110</v>
      </c>
      <c r="H112" s="42" t="s">
        <v>769</v>
      </c>
      <c r="I112" s="43">
        <v>44993</v>
      </c>
      <c r="J112" s="125" t="s">
        <v>59</v>
      </c>
      <c r="K112" s="125" t="s">
        <v>128</v>
      </c>
      <c r="L112" s="39" t="s">
        <v>61</v>
      </c>
      <c r="M112" s="125" t="s">
        <v>1111</v>
      </c>
      <c r="N112" s="125">
        <v>80131502</v>
      </c>
      <c r="O112" s="42" t="s">
        <v>1112</v>
      </c>
      <c r="P112" s="127">
        <v>25139583.5</v>
      </c>
      <c r="Q112" s="127">
        <v>25139583.5</v>
      </c>
      <c r="R112" s="42">
        <v>25923</v>
      </c>
      <c r="S112" s="42" t="s">
        <v>131</v>
      </c>
      <c r="T112" s="125" t="s">
        <v>64</v>
      </c>
      <c r="U112" s="125" t="s">
        <v>65</v>
      </c>
      <c r="V112" s="39"/>
      <c r="W112" s="128" t="s">
        <v>1113</v>
      </c>
      <c r="X112" s="39" t="s">
        <v>632</v>
      </c>
      <c r="Y112" s="43">
        <v>45001</v>
      </c>
      <c r="Z112" s="39" t="s">
        <v>1114</v>
      </c>
      <c r="AA112" s="39"/>
      <c r="AB112" s="39" t="s">
        <v>1115</v>
      </c>
      <c r="AC112" s="39" t="s">
        <v>1116</v>
      </c>
      <c r="AD112" s="42" t="s">
        <v>1117</v>
      </c>
      <c r="AE112" s="39">
        <v>901317464</v>
      </c>
      <c r="AF112" s="39">
        <v>4</v>
      </c>
      <c r="AG112" s="125" t="s">
        <v>517</v>
      </c>
      <c r="AH112" s="39" t="s">
        <v>551</v>
      </c>
      <c r="AI112" s="39"/>
      <c r="AJ112" s="39"/>
      <c r="AK112" s="39" t="s">
        <v>517</v>
      </c>
      <c r="AL112" s="43" t="s">
        <v>517</v>
      </c>
      <c r="AM112" s="42">
        <v>57023</v>
      </c>
      <c r="AN112" s="43">
        <v>45001</v>
      </c>
      <c r="AO112" s="129">
        <v>25139583.5</v>
      </c>
      <c r="AP112" s="39"/>
      <c r="AQ112" s="45"/>
      <c r="AR112" s="39"/>
      <c r="AS112" s="129">
        <v>25139583.5</v>
      </c>
      <c r="AT112" s="39" t="s">
        <v>551</v>
      </c>
      <c r="AU112" s="125" t="s">
        <v>517</v>
      </c>
      <c r="AV112" s="127" t="s">
        <v>517</v>
      </c>
      <c r="AW112" s="43">
        <v>44999</v>
      </c>
      <c r="AX112" s="43">
        <v>45291</v>
      </c>
      <c r="AY112" s="124">
        <f>(AX112-AW112)</f>
        <v>292</v>
      </c>
      <c r="AZ112" s="41" t="s">
        <v>1118</v>
      </c>
      <c r="BA112" s="125">
        <v>25166983</v>
      </c>
      <c r="BB112" s="39"/>
      <c r="BC112" s="39"/>
      <c r="BD112" s="39"/>
      <c r="BE112" s="43"/>
      <c r="BF112" s="39"/>
      <c r="BG112" s="43"/>
      <c r="BH112" s="41"/>
      <c r="BI112" s="39"/>
      <c r="BJ112" s="127">
        <f>SUM(AS112+BB112+BD112+BF112-BH112)</f>
        <v>25139583.5</v>
      </c>
      <c r="BK112" s="43"/>
      <c r="BL112" s="39"/>
      <c r="BM112" s="39"/>
      <c r="BN112" s="43"/>
      <c r="BO112" s="39"/>
      <c r="BP112" s="41"/>
      <c r="BQ112" s="43"/>
      <c r="BR112" s="39"/>
      <c r="BS112" s="43"/>
      <c r="BT112" s="125">
        <f>SUM(AY112+BK112+BN112+BQ112)</f>
        <v>292</v>
      </c>
      <c r="BU112" s="39"/>
      <c r="BV112" s="46"/>
    </row>
    <row r="113" spans="1:74" ht="15" customHeight="1" x14ac:dyDescent="0.25">
      <c r="A113" s="36" t="s">
        <v>459</v>
      </c>
      <c r="B113" s="37" t="s">
        <v>460</v>
      </c>
      <c r="C113" s="38" t="s">
        <v>54</v>
      </c>
      <c r="D113" s="42">
        <v>109</v>
      </c>
      <c r="E113" s="39" t="s">
        <v>344</v>
      </c>
      <c r="F113" s="42" t="s">
        <v>1010</v>
      </c>
      <c r="G113" s="55" t="s">
        <v>1011</v>
      </c>
      <c r="H113" s="42" t="s">
        <v>769</v>
      </c>
      <c r="I113" s="68">
        <v>44994</v>
      </c>
      <c r="J113" s="39" t="s">
        <v>59</v>
      </c>
      <c r="K113" s="39" t="s">
        <v>995</v>
      </c>
      <c r="L113" s="39" t="s">
        <v>225</v>
      </c>
      <c r="M113" s="39" t="s">
        <v>996</v>
      </c>
      <c r="N113" s="42">
        <v>801615</v>
      </c>
      <c r="O113" s="50" t="s">
        <v>997</v>
      </c>
      <c r="P113" s="50">
        <v>25000000</v>
      </c>
      <c r="Q113" s="50">
        <v>25000000</v>
      </c>
      <c r="R113" s="42">
        <v>23623</v>
      </c>
      <c r="S113" s="42" t="s">
        <v>89</v>
      </c>
      <c r="T113" s="42" t="s">
        <v>64</v>
      </c>
      <c r="U113" s="42" t="s">
        <v>65</v>
      </c>
      <c r="V113" s="42"/>
      <c r="W113" s="55" t="s">
        <v>1012</v>
      </c>
      <c r="X113" s="42" t="s">
        <v>994</v>
      </c>
      <c r="Y113" s="43">
        <v>44994</v>
      </c>
      <c r="Z113" s="39" t="s">
        <v>995</v>
      </c>
      <c r="AA113" s="42"/>
      <c r="AB113" s="42" t="s">
        <v>999</v>
      </c>
      <c r="AC113" s="42" t="s">
        <v>1000</v>
      </c>
      <c r="AD113" s="42" t="s">
        <v>1013</v>
      </c>
      <c r="AE113" s="42">
        <v>1090512871</v>
      </c>
      <c r="AF113" s="42"/>
      <c r="AG113" s="39" t="s">
        <v>517</v>
      </c>
      <c r="AH113" s="39" t="s">
        <v>551</v>
      </c>
      <c r="AI113" s="39"/>
      <c r="AJ113" s="39"/>
      <c r="AK113" s="42"/>
      <c r="AL113" s="52" t="e">
        <f ca="1">+YEAR(TODAY())-YEAR([7]!Tabla1[[#This Row],[FECHA DE NACIMIENTO]])</f>
        <v>#REF!</v>
      </c>
      <c r="AM113" s="42">
        <v>47123</v>
      </c>
      <c r="AN113" s="43">
        <v>44993</v>
      </c>
      <c r="AO113" s="50">
        <v>25000000</v>
      </c>
      <c r="AP113" s="42"/>
      <c r="AQ113" s="53"/>
      <c r="AR113" s="42"/>
      <c r="AS113" s="122">
        <v>25000000</v>
      </c>
      <c r="AT113" s="39" t="s">
        <v>297</v>
      </c>
      <c r="AU113" s="43">
        <v>44995</v>
      </c>
      <c r="AV113" s="39" t="s">
        <v>74</v>
      </c>
      <c r="AW113" s="43">
        <v>45001</v>
      </c>
      <c r="AX113" s="43">
        <v>45291</v>
      </c>
      <c r="AY113" s="37">
        <v>290</v>
      </c>
      <c r="AZ113" s="50" t="s">
        <v>826</v>
      </c>
      <c r="BA113" s="39">
        <v>88151663</v>
      </c>
      <c r="BB113" s="50"/>
      <c r="BC113" s="55"/>
      <c r="BD113" s="42"/>
      <c r="BE113" s="55"/>
      <c r="BF113" s="42"/>
      <c r="BG113" s="55"/>
      <c r="BH113" s="50"/>
      <c r="BI113" s="55"/>
      <c r="BJ113" s="50">
        <v>25000000</v>
      </c>
      <c r="BK113" s="55"/>
      <c r="BL113" s="55"/>
      <c r="BM113" s="55"/>
      <c r="BN113" s="55"/>
      <c r="BO113" s="42"/>
      <c r="BP113" s="55"/>
      <c r="BQ113" s="55"/>
      <c r="BR113" s="50"/>
      <c r="BS113" s="55"/>
      <c r="BT113" s="42">
        <v>290</v>
      </c>
      <c r="BU113" s="55"/>
      <c r="BV113" s="54"/>
    </row>
    <row r="114" spans="1:74" s="212" customFormat="1" ht="15" customHeight="1" x14ac:dyDescent="0.25">
      <c r="A114" s="210" t="s">
        <v>459</v>
      </c>
      <c r="B114" s="210" t="s">
        <v>460</v>
      </c>
      <c r="C114" s="211" t="s">
        <v>54</v>
      </c>
      <c r="D114" s="212">
        <v>120</v>
      </c>
      <c r="E114" s="212" t="s">
        <v>55</v>
      </c>
      <c r="F114" s="212" t="s">
        <v>789</v>
      </c>
      <c r="G114" s="212" t="s">
        <v>788</v>
      </c>
      <c r="H114" s="213" t="s">
        <v>769</v>
      </c>
      <c r="I114" s="214">
        <v>44995</v>
      </c>
      <c r="J114" s="212" t="s">
        <v>492</v>
      </c>
      <c r="K114" s="212" t="s">
        <v>493</v>
      </c>
      <c r="L114" s="210" t="s">
        <v>340</v>
      </c>
      <c r="M114" s="212" t="s">
        <v>790</v>
      </c>
      <c r="N114" s="210">
        <v>40141700</v>
      </c>
      <c r="O114" s="215" t="s">
        <v>791</v>
      </c>
      <c r="P114" s="216">
        <v>220000000</v>
      </c>
      <c r="Q114" s="216">
        <v>220000000</v>
      </c>
      <c r="R114" s="212">
        <v>23722</v>
      </c>
      <c r="S114" s="210" t="s">
        <v>792</v>
      </c>
      <c r="T114" s="213" t="s">
        <v>64</v>
      </c>
      <c r="U114" s="213"/>
      <c r="W114" s="217" t="s">
        <v>1449</v>
      </c>
      <c r="X114" s="212" t="s">
        <v>1407</v>
      </c>
      <c r="Y114" s="218">
        <v>45065</v>
      </c>
      <c r="Z114" s="219" t="s">
        <v>1435</v>
      </c>
      <c r="AB114" s="213" t="s">
        <v>68</v>
      </c>
      <c r="AC114" s="213" t="s">
        <v>1196</v>
      </c>
      <c r="AD114" s="213" t="s">
        <v>1450</v>
      </c>
      <c r="AE114" s="212">
        <v>901713317</v>
      </c>
      <c r="AF114" s="212">
        <v>8</v>
      </c>
      <c r="AH114" s="212" t="s">
        <v>551</v>
      </c>
      <c r="AK114" s="214"/>
      <c r="AL114" s="214"/>
      <c r="AM114" s="213">
        <v>91223</v>
      </c>
      <c r="AN114" s="214">
        <v>45049</v>
      </c>
      <c r="AO114" s="220">
        <v>220000000</v>
      </c>
      <c r="AP114" s="220"/>
      <c r="AQ114" s="221"/>
      <c r="AS114" s="220">
        <f>(Tabla13[[#This Row],[VALOR  2023]]+Tabla13[[#This Row],[VALOR VF 2024]])</f>
        <v>220000000</v>
      </c>
      <c r="AT114" s="219" t="s">
        <v>297</v>
      </c>
      <c r="AU114" s="214">
        <v>45072</v>
      </c>
      <c r="AV114" s="211" t="s">
        <v>74</v>
      </c>
      <c r="AW114" s="214">
        <v>45073</v>
      </c>
      <c r="AX114" s="222">
        <v>45291</v>
      </c>
      <c r="AY114" s="223">
        <f>(AX114-AW114)</f>
        <v>218</v>
      </c>
      <c r="AZ114" s="224" t="s">
        <v>1451</v>
      </c>
      <c r="BA114" s="224">
        <v>1070618478</v>
      </c>
      <c r="BE114" s="214"/>
      <c r="BG114" s="214"/>
      <c r="BH114" s="215"/>
      <c r="BJ114" s="214"/>
      <c r="BK114" s="214"/>
      <c r="BN114" s="214"/>
      <c r="BP114" s="215"/>
      <c r="BQ114" s="214"/>
      <c r="BS114" s="214"/>
    </row>
    <row r="115" spans="1:74" ht="15" customHeight="1" x14ac:dyDescent="0.25">
      <c r="A115" s="36" t="s">
        <v>459</v>
      </c>
      <c r="B115" s="37" t="s">
        <v>460</v>
      </c>
      <c r="C115" s="38" t="s">
        <v>54</v>
      </c>
      <c r="D115" s="42">
        <v>152</v>
      </c>
      <c r="E115" s="42" t="s">
        <v>345</v>
      </c>
      <c r="F115" s="42" t="s">
        <v>930</v>
      </c>
      <c r="G115" s="55" t="s">
        <v>931</v>
      </c>
      <c r="H115" s="42" t="s">
        <v>769</v>
      </c>
      <c r="I115" s="71">
        <v>44995</v>
      </c>
      <c r="J115" s="42" t="s">
        <v>59</v>
      </c>
      <c r="K115" s="42" t="s">
        <v>128</v>
      </c>
      <c r="L115" s="42" t="s">
        <v>340</v>
      </c>
      <c r="M115" s="42" t="s">
        <v>932</v>
      </c>
      <c r="N115" s="42">
        <v>80131502</v>
      </c>
      <c r="O115" s="50" t="s">
        <v>933</v>
      </c>
      <c r="P115" s="50">
        <v>16410000</v>
      </c>
      <c r="Q115" s="50">
        <v>14250000</v>
      </c>
      <c r="R115" s="42">
        <v>25823</v>
      </c>
      <c r="S115" s="42" t="s">
        <v>934</v>
      </c>
      <c r="T115" s="42" t="s">
        <v>64</v>
      </c>
      <c r="U115" s="42" t="s">
        <v>65</v>
      </c>
      <c r="V115" s="42" t="s">
        <v>517</v>
      </c>
      <c r="W115" s="55" t="s">
        <v>935</v>
      </c>
      <c r="X115" s="39" t="s">
        <v>769</v>
      </c>
      <c r="Y115" s="55">
        <v>45001</v>
      </c>
      <c r="Z115" s="42" t="s">
        <v>936</v>
      </c>
      <c r="AA115" s="42"/>
      <c r="AB115" s="42" t="s">
        <v>937</v>
      </c>
      <c r="AC115" s="42" t="s">
        <v>938</v>
      </c>
      <c r="AD115" s="42" t="s">
        <v>939</v>
      </c>
      <c r="AE115" s="42">
        <v>98324134</v>
      </c>
      <c r="AF115" s="42" t="s">
        <v>517</v>
      </c>
      <c r="AG115" s="42" t="s">
        <v>517</v>
      </c>
      <c r="AH115" s="42"/>
      <c r="AI115" s="39"/>
      <c r="AJ115" s="39"/>
      <c r="AK115" s="42" t="s">
        <v>517</v>
      </c>
      <c r="AL115" s="52" t="e">
        <f ca="1">+YEAR(TODAY())-YEAR([8]!Tabla1[[#This Row],[FECHA DE NACIMIENTO]])</f>
        <v>#REF!</v>
      </c>
      <c r="AM115" s="39">
        <v>56923</v>
      </c>
      <c r="AN115" s="55">
        <v>45001</v>
      </c>
      <c r="AO115" s="50">
        <v>14250000</v>
      </c>
      <c r="AP115" s="42"/>
      <c r="AQ115" s="53"/>
      <c r="AR115" s="42"/>
      <c r="AS115" s="53">
        <v>14250000</v>
      </c>
      <c r="AT115" s="42" t="s">
        <v>478</v>
      </c>
      <c r="AU115" s="55" t="s">
        <v>517</v>
      </c>
      <c r="AV115" s="55" t="s">
        <v>517</v>
      </c>
      <c r="AW115" s="55">
        <v>45001</v>
      </c>
      <c r="AX115" s="55">
        <v>45291</v>
      </c>
      <c r="AY115" s="38">
        <f>(AX115-AW115)</f>
        <v>290</v>
      </c>
      <c r="AZ115" s="50" t="s">
        <v>940</v>
      </c>
      <c r="BA115" s="39">
        <v>30738603</v>
      </c>
      <c r="BB115" s="50"/>
      <c r="BC115" s="55"/>
      <c r="BD115" s="42"/>
      <c r="BE115" s="55"/>
      <c r="BF115" s="42"/>
      <c r="BG115" s="55"/>
      <c r="BH115" s="50"/>
      <c r="BI115" s="55"/>
      <c r="BJ115" s="41" t="e">
        <f>([8]!Tabla1[[#This Row],[VALOR TOTAL CONTRATO + VF]]+[8]!Tabla1[[#This Row],[ADICION 1 ]]+[8]!Tabla1[[#This Row],[ADICION 2]]-[8]!Tabla1[[#This Row],[LIBERACION]])</f>
        <v>#REF!</v>
      </c>
      <c r="BK115" s="55"/>
      <c r="BL115" s="55"/>
      <c r="BM115" s="55"/>
      <c r="BN115" s="55"/>
      <c r="BO115" s="42"/>
      <c r="BP115" s="55"/>
      <c r="BQ115" s="55"/>
      <c r="BR115" s="50"/>
      <c r="BS115" s="55"/>
      <c r="BT115" s="42">
        <f>SUM(AY115+BK115+BN115+BQ115)</f>
        <v>290</v>
      </c>
      <c r="BU115" s="55"/>
      <c r="BV115" s="54"/>
    </row>
    <row r="116" spans="1:74" ht="15" customHeight="1" x14ac:dyDescent="0.25">
      <c r="A116" s="37" t="s">
        <v>459</v>
      </c>
      <c r="B116" s="37" t="s">
        <v>460</v>
      </c>
      <c r="C116" s="38" t="s">
        <v>54</v>
      </c>
      <c r="D116" s="42">
        <v>99</v>
      </c>
      <c r="E116" s="39" t="s">
        <v>344</v>
      </c>
      <c r="F116" s="42" t="s">
        <v>1018</v>
      </c>
      <c r="G116" s="55" t="s">
        <v>1019</v>
      </c>
      <c r="H116" s="42" t="s">
        <v>769</v>
      </c>
      <c r="I116" s="68">
        <v>44995</v>
      </c>
      <c r="J116" s="39" t="s">
        <v>59</v>
      </c>
      <c r="K116" s="39" t="s">
        <v>995</v>
      </c>
      <c r="L116" s="39" t="s">
        <v>225</v>
      </c>
      <c r="M116" s="39" t="s">
        <v>996</v>
      </c>
      <c r="N116" s="42">
        <v>801615</v>
      </c>
      <c r="O116" s="50" t="s">
        <v>997</v>
      </c>
      <c r="P116" s="50">
        <v>30000000</v>
      </c>
      <c r="Q116" s="50">
        <v>30000000</v>
      </c>
      <c r="R116" s="42">
        <v>25223</v>
      </c>
      <c r="S116" s="42" t="s">
        <v>89</v>
      </c>
      <c r="T116" s="42" t="s">
        <v>64</v>
      </c>
      <c r="U116" s="42" t="s">
        <v>65</v>
      </c>
      <c r="V116" s="42"/>
      <c r="W116" s="55" t="s">
        <v>1020</v>
      </c>
      <c r="X116" s="42" t="s">
        <v>994</v>
      </c>
      <c r="Y116" s="43">
        <v>44998</v>
      </c>
      <c r="Z116" s="39" t="s">
        <v>67</v>
      </c>
      <c r="AA116" s="42"/>
      <c r="AB116" s="42" t="s">
        <v>999</v>
      </c>
      <c r="AC116" s="42" t="s">
        <v>1000</v>
      </c>
      <c r="AD116" s="42" t="s">
        <v>1021</v>
      </c>
      <c r="AE116" s="42">
        <v>1101694114</v>
      </c>
      <c r="AF116" s="42"/>
      <c r="AG116" s="39" t="s">
        <v>517</v>
      </c>
      <c r="AH116" s="39" t="s">
        <v>551</v>
      </c>
      <c r="AI116" s="39"/>
      <c r="AJ116" s="39"/>
      <c r="AK116" s="42"/>
      <c r="AL116" s="52" t="e">
        <f ca="1">+YEAR(TODAY())-YEAR([7]!Tabla1[[#This Row],[FECHA DE NACIMIENTO]])</f>
        <v>#REF!</v>
      </c>
      <c r="AM116" s="42">
        <v>52323</v>
      </c>
      <c r="AN116" s="43">
        <v>44994</v>
      </c>
      <c r="AO116" s="50">
        <v>30000000</v>
      </c>
      <c r="AP116" s="42"/>
      <c r="AQ116" s="53"/>
      <c r="AR116" s="42"/>
      <c r="AS116" s="53">
        <v>30000000</v>
      </c>
      <c r="AT116" s="39" t="s">
        <v>297</v>
      </c>
      <c r="AU116" s="43">
        <v>44998</v>
      </c>
      <c r="AV116" s="39" t="s">
        <v>74</v>
      </c>
      <c r="AW116" s="43">
        <v>45000</v>
      </c>
      <c r="AX116" s="43">
        <v>45291</v>
      </c>
      <c r="AY116" s="37">
        <v>291</v>
      </c>
      <c r="AZ116" s="50" t="s">
        <v>826</v>
      </c>
      <c r="BA116" s="39">
        <v>88151663</v>
      </c>
      <c r="BB116" s="50"/>
      <c r="BC116" s="55"/>
      <c r="BD116" s="42"/>
      <c r="BE116" s="55"/>
      <c r="BF116" s="42"/>
      <c r="BG116" s="55"/>
      <c r="BH116" s="50"/>
      <c r="BI116" s="55"/>
      <c r="BJ116" s="50">
        <v>30000000</v>
      </c>
      <c r="BK116" s="55"/>
      <c r="BL116" s="55"/>
      <c r="BM116" s="55"/>
      <c r="BN116" s="55"/>
      <c r="BO116" s="42"/>
      <c r="BP116" s="55"/>
      <c r="BQ116" s="55"/>
      <c r="BR116" s="50"/>
      <c r="BS116" s="55"/>
      <c r="BT116" s="42">
        <v>291</v>
      </c>
      <c r="BU116" s="55"/>
      <c r="BV116" s="54"/>
    </row>
    <row r="117" spans="1:74" ht="15" customHeight="1" x14ac:dyDescent="0.25">
      <c r="A117" s="37" t="s">
        <v>459</v>
      </c>
      <c r="B117" s="37" t="s">
        <v>460</v>
      </c>
      <c r="C117" s="38" t="s">
        <v>54</v>
      </c>
      <c r="D117" s="42">
        <v>100</v>
      </c>
      <c r="E117" s="39" t="s">
        <v>344</v>
      </c>
      <c r="F117" s="42" t="s">
        <v>1022</v>
      </c>
      <c r="G117" s="55" t="s">
        <v>1023</v>
      </c>
      <c r="H117" s="42" t="s">
        <v>769</v>
      </c>
      <c r="I117" s="68">
        <v>44995</v>
      </c>
      <c r="J117" s="39" t="s">
        <v>59</v>
      </c>
      <c r="K117" s="39" t="s">
        <v>995</v>
      </c>
      <c r="L117" s="39" t="s">
        <v>225</v>
      </c>
      <c r="M117" s="39" t="s">
        <v>996</v>
      </c>
      <c r="N117" s="42">
        <v>801615</v>
      </c>
      <c r="O117" s="50" t="s">
        <v>997</v>
      </c>
      <c r="P117" s="50">
        <v>30000000</v>
      </c>
      <c r="Q117" s="50">
        <v>30000000</v>
      </c>
      <c r="R117" s="42">
        <v>25023</v>
      </c>
      <c r="S117" s="42" t="s">
        <v>89</v>
      </c>
      <c r="T117" s="42" t="s">
        <v>64</v>
      </c>
      <c r="U117" s="42" t="s">
        <v>65</v>
      </c>
      <c r="V117" s="42"/>
      <c r="W117" s="55" t="s">
        <v>1024</v>
      </c>
      <c r="X117" s="42" t="s">
        <v>994</v>
      </c>
      <c r="Y117" s="43">
        <v>44998</v>
      </c>
      <c r="Z117" s="39" t="s">
        <v>67</v>
      </c>
      <c r="AA117" s="42"/>
      <c r="AB117" s="42" t="s">
        <v>999</v>
      </c>
      <c r="AC117" s="42" t="s">
        <v>1000</v>
      </c>
      <c r="AD117" s="42" t="s">
        <v>1025</v>
      </c>
      <c r="AE117" s="42">
        <v>1090416279</v>
      </c>
      <c r="AF117" s="42"/>
      <c r="AG117" s="39" t="s">
        <v>517</v>
      </c>
      <c r="AH117" s="39" t="s">
        <v>551</v>
      </c>
      <c r="AI117" s="39"/>
      <c r="AJ117" s="39"/>
      <c r="AK117" s="42"/>
      <c r="AL117" s="52" t="e">
        <f ca="1">+YEAR(TODAY())-YEAR([7]!Tabla1[[#This Row],[FECHA DE NACIMIENTO]])</f>
        <v>#REF!</v>
      </c>
      <c r="AM117" s="42">
        <v>52523</v>
      </c>
      <c r="AN117" s="43">
        <v>44994</v>
      </c>
      <c r="AO117" s="50">
        <v>30000000</v>
      </c>
      <c r="AP117" s="42"/>
      <c r="AQ117" s="53"/>
      <c r="AR117" s="42"/>
      <c r="AS117" s="53">
        <v>30000000</v>
      </c>
      <c r="AT117" s="39" t="s">
        <v>297</v>
      </c>
      <c r="AU117" s="43">
        <v>44999</v>
      </c>
      <c r="AV117" s="39" t="s">
        <v>74</v>
      </c>
      <c r="AW117" s="43">
        <v>45001</v>
      </c>
      <c r="AX117" s="43">
        <v>45291</v>
      </c>
      <c r="AY117" s="37">
        <v>290</v>
      </c>
      <c r="AZ117" s="50" t="s">
        <v>826</v>
      </c>
      <c r="BA117" s="39">
        <v>88151663</v>
      </c>
      <c r="BB117" s="50"/>
      <c r="BC117" s="55"/>
      <c r="BD117" s="42"/>
      <c r="BE117" s="55"/>
      <c r="BF117" s="42"/>
      <c r="BG117" s="55"/>
      <c r="BH117" s="50"/>
      <c r="BI117" s="55"/>
      <c r="BJ117" s="50">
        <v>30000000</v>
      </c>
      <c r="BK117" s="55"/>
      <c r="BL117" s="55"/>
      <c r="BM117" s="55"/>
      <c r="BN117" s="55"/>
      <c r="BO117" s="42"/>
      <c r="BP117" s="55"/>
      <c r="BQ117" s="55"/>
      <c r="BR117" s="50"/>
      <c r="BS117" s="55"/>
      <c r="BT117" s="42">
        <v>290</v>
      </c>
      <c r="BU117" s="55"/>
      <c r="BV117" s="54"/>
    </row>
    <row r="118" spans="1:74" ht="15" customHeight="1" x14ac:dyDescent="0.25">
      <c r="A118" s="37" t="s">
        <v>459</v>
      </c>
      <c r="B118" s="37" t="s">
        <v>460</v>
      </c>
      <c r="C118" s="38" t="s">
        <v>54</v>
      </c>
      <c r="D118" s="42">
        <v>101</v>
      </c>
      <c r="E118" s="39" t="s">
        <v>344</v>
      </c>
      <c r="F118" s="42" t="s">
        <v>1026</v>
      </c>
      <c r="G118" s="55" t="s">
        <v>1027</v>
      </c>
      <c r="H118" s="42" t="s">
        <v>769</v>
      </c>
      <c r="I118" s="68">
        <v>44995</v>
      </c>
      <c r="J118" s="39" t="s">
        <v>59</v>
      </c>
      <c r="K118" s="39" t="s">
        <v>995</v>
      </c>
      <c r="L118" s="39" t="s">
        <v>225</v>
      </c>
      <c r="M118" s="39" t="s">
        <v>996</v>
      </c>
      <c r="N118" s="42">
        <v>801615</v>
      </c>
      <c r="O118" s="50" t="s">
        <v>997</v>
      </c>
      <c r="P118" s="50">
        <v>30000000</v>
      </c>
      <c r="Q118" s="50">
        <v>30000000</v>
      </c>
      <c r="R118" s="42">
        <v>25123</v>
      </c>
      <c r="S118" s="42" t="s">
        <v>89</v>
      </c>
      <c r="T118" s="42" t="s">
        <v>64</v>
      </c>
      <c r="U118" s="42" t="s">
        <v>1028</v>
      </c>
      <c r="V118" s="42"/>
      <c r="W118" s="55" t="s">
        <v>517</v>
      </c>
      <c r="X118" s="42" t="s">
        <v>994</v>
      </c>
      <c r="Y118" s="55" t="s">
        <v>517</v>
      </c>
      <c r="Z118" s="39" t="s">
        <v>67</v>
      </c>
      <c r="AA118" s="42"/>
      <c r="AB118" s="42" t="s">
        <v>999</v>
      </c>
      <c r="AC118" s="42" t="s">
        <v>1000</v>
      </c>
      <c r="AD118" s="42" t="s">
        <v>1029</v>
      </c>
      <c r="AE118" s="42">
        <v>1090504513</v>
      </c>
      <c r="AF118" s="42"/>
      <c r="AG118" s="39" t="s">
        <v>517</v>
      </c>
      <c r="AH118" s="39" t="s">
        <v>551</v>
      </c>
      <c r="AI118" s="39"/>
      <c r="AJ118" s="39"/>
      <c r="AK118" s="42"/>
      <c r="AL118" s="52" t="e">
        <f ca="1">+YEAR(TODAY())-YEAR([7]!Tabla1[[#This Row],[FECHA DE NACIMIENTO]])</f>
        <v>#REF!</v>
      </c>
      <c r="AM118" s="42">
        <v>52623</v>
      </c>
      <c r="AN118" s="43">
        <v>44994</v>
      </c>
      <c r="AO118" s="50">
        <v>30000000</v>
      </c>
      <c r="AP118" s="42"/>
      <c r="AQ118" s="53"/>
      <c r="AR118" s="42"/>
      <c r="AS118" s="53">
        <v>30000000</v>
      </c>
      <c r="AT118" s="39" t="s">
        <v>297</v>
      </c>
      <c r="AU118" s="55" t="s">
        <v>517</v>
      </c>
      <c r="AV118" s="55" t="s">
        <v>517</v>
      </c>
      <c r="AW118" s="55" t="s">
        <v>517</v>
      </c>
      <c r="AX118" s="55" t="s">
        <v>517</v>
      </c>
      <c r="AY118" s="37" t="s">
        <v>517</v>
      </c>
      <c r="AZ118" s="50" t="s">
        <v>826</v>
      </c>
      <c r="BA118" s="39">
        <v>88151663</v>
      </c>
      <c r="BB118" s="50"/>
      <c r="BC118" s="55"/>
      <c r="BD118" s="42"/>
      <c r="BE118" s="55"/>
      <c r="BF118" s="42"/>
      <c r="BG118" s="55"/>
      <c r="BH118" s="50"/>
      <c r="BI118" s="55"/>
      <c r="BJ118" s="50">
        <v>30000000</v>
      </c>
      <c r="BK118" s="55"/>
      <c r="BL118" s="55"/>
      <c r="BM118" s="55"/>
      <c r="BN118" s="55"/>
      <c r="BO118" s="42"/>
      <c r="BP118" s="55"/>
      <c r="BQ118" s="55"/>
      <c r="BR118" s="50"/>
      <c r="BS118" s="55"/>
      <c r="BT118" s="42" t="s">
        <v>517</v>
      </c>
      <c r="BU118" s="55"/>
      <c r="BV118" s="54"/>
    </row>
    <row r="119" spans="1:74" ht="15" customHeight="1" x14ac:dyDescent="0.25">
      <c r="A119" s="57" t="s">
        <v>459</v>
      </c>
      <c r="B119" s="57" t="s">
        <v>460</v>
      </c>
      <c r="C119" s="58" t="s">
        <v>54</v>
      </c>
      <c r="D119" s="110">
        <v>118</v>
      </c>
      <c r="E119" s="59" t="s">
        <v>221</v>
      </c>
      <c r="F119" s="110" t="s">
        <v>837</v>
      </c>
      <c r="G119" s="112" t="s">
        <v>838</v>
      </c>
      <c r="H119" s="110" t="s">
        <v>769</v>
      </c>
      <c r="I119" s="113">
        <v>44998</v>
      </c>
      <c r="J119" s="110" t="s">
        <v>59</v>
      </c>
      <c r="K119" s="59" t="s">
        <v>60</v>
      </c>
      <c r="L119" s="110" t="s">
        <v>839</v>
      </c>
      <c r="M119" s="59" t="s">
        <v>840</v>
      </c>
      <c r="N119" s="115" t="s">
        <v>841</v>
      </c>
      <c r="O119" s="61" t="s">
        <v>842</v>
      </c>
      <c r="P119" s="115">
        <v>24000000</v>
      </c>
      <c r="Q119" s="115">
        <v>24000000</v>
      </c>
      <c r="R119" s="110">
        <v>26723</v>
      </c>
      <c r="S119" s="110" t="s">
        <v>63</v>
      </c>
      <c r="T119" s="59" t="s">
        <v>64</v>
      </c>
      <c r="U119" s="59" t="s">
        <v>65</v>
      </c>
      <c r="V119" s="59"/>
      <c r="W119" s="112" t="s">
        <v>843</v>
      </c>
      <c r="X119" s="59" t="s">
        <v>769</v>
      </c>
      <c r="Y119" s="116">
        <v>44999</v>
      </c>
      <c r="Z119" s="59" t="s">
        <v>60</v>
      </c>
      <c r="AA119" s="110"/>
      <c r="AB119" s="59" t="s">
        <v>68</v>
      </c>
      <c r="AC119" s="59" t="s">
        <v>69</v>
      </c>
      <c r="AD119" s="110" t="s">
        <v>844</v>
      </c>
      <c r="AE119" s="110">
        <v>51727720</v>
      </c>
      <c r="AF119" s="59" t="s">
        <v>141</v>
      </c>
      <c r="AG119" s="110" t="s">
        <v>591</v>
      </c>
      <c r="AH119" s="59" t="s">
        <v>551</v>
      </c>
      <c r="AI119" s="59" t="s">
        <v>467</v>
      </c>
      <c r="AJ119" s="110" t="s">
        <v>517</v>
      </c>
      <c r="AK119" s="65">
        <v>23593</v>
      </c>
      <c r="AL119" s="118" t="e">
        <f ca="1">+YEAR(TODAY())-YEAR([3]!Tabla1[[#This Row],[FECHA DE NACIMIENTO]])</f>
        <v>#REF!</v>
      </c>
      <c r="AM119" s="59">
        <v>56723</v>
      </c>
      <c r="AN119" s="60">
        <v>45001</v>
      </c>
      <c r="AO119" s="115">
        <v>24000000</v>
      </c>
      <c r="AP119" s="110"/>
      <c r="AQ119" s="119"/>
      <c r="AR119" s="110"/>
      <c r="AS119" s="115">
        <v>24000000</v>
      </c>
      <c r="AT119" s="59" t="s">
        <v>75</v>
      </c>
      <c r="AU119" s="60">
        <v>45001</v>
      </c>
      <c r="AV119" s="59" t="s">
        <v>74</v>
      </c>
      <c r="AW119" s="60">
        <v>45002</v>
      </c>
      <c r="AX119" s="60">
        <v>45216</v>
      </c>
      <c r="AY119" s="58">
        <f t="shared" ref="AY119:AY124" si="12">(AX119-AW119)</f>
        <v>214</v>
      </c>
      <c r="AZ119" s="61" t="s">
        <v>438</v>
      </c>
      <c r="BA119" s="59">
        <v>51832657</v>
      </c>
      <c r="BB119" s="115"/>
      <c r="BC119" s="112"/>
      <c r="BD119" s="110"/>
      <c r="BE119" s="112"/>
      <c r="BF119" s="110"/>
      <c r="BG119" s="112"/>
      <c r="BH119" s="115"/>
      <c r="BI119" s="112"/>
      <c r="BJ119" s="61" t="e">
        <f>([3]!Tabla1[[#This Row],[VALOR TOTAL CONTRATO + VF]]+[3]!Tabla1[[#This Row],[ADICION 1 ]]+[3]!Tabla1[[#This Row],[ADICION 2]]-[3]!Tabla1[[#This Row],[LIBERACION]])</f>
        <v>#REF!</v>
      </c>
      <c r="BK119" s="112"/>
      <c r="BL119" s="112"/>
      <c r="BM119" s="112"/>
      <c r="BN119" s="112"/>
      <c r="BO119" s="110"/>
      <c r="BP119" s="112"/>
      <c r="BQ119" s="112"/>
      <c r="BR119" s="115"/>
      <c r="BS119" s="112"/>
      <c r="BT119" s="59">
        <f t="shared" ref="BT119:BT124" si="13">SUM(AY119+BK119+BN119+BQ119)</f>
        <v>214</v>
      </c>
      <c r="BU119" s="112"/>
      <c r="BV119" s="121"/>
    </row>
    <row r="120" spans="1:74" s="272" customFormat="1" ht="15" customHeight="1" x14ac:dyDescent="0.25">
      <c r="A120" s="257" t="s">
        <v>459</v>
      </c>
      <c r="B120" s="258" t="s">
        <v>460</v>
      </c>
      <c r="C120" s="259" t="s">
        <v>54</v>
      </c>
      <c r="D120" s="260">
        <v>191</v>
      </c>
      <c r="E120" s="261" t="s">
        <v>221</v>
      </c>
      <c r="F120" s="260" t="s">
        <v>845</v>
      </c>
      <c r="G120" s="267" t="s">
        <v>846</v>
      </c>
      <c r="H120" s="260" t="s">
        <v>769</v>
      </c>
      <c r="I120" s="263">
        <v>44998</v>
      </c>
      <c r="J120" s="260" t="s">
        <v>847</v>
      </c>
      <c r="K120" s="261" t="s">
        <v>60</v>
      </c>
      <c r="L120" s="261" t="s">
        <v>61</v>
      </c>
      <c r="M120" s="261" t="s">
        <v>848</v>
      </c>
      <c r="N120" s="266" t="s">
        <v>849</v>
      </c>
      <c r="O120" s="270" t="s">
        <v>850</v>
      </c>
      <c r="P120" s="266">
        <v>70000000</v>
      </c>
      <c r="Q120" s="266">
        <v>70000000</v>
      </c>
      <c r="R120" s="260">
        <v>20723</v>
      </c>
      <c r="S120" s="260" t="s">
        <v>851</v>
      </c>
      <c r="T120" s="261" t="s">
        <v>64</v>
      </c>
      <c r="U120" s="261" t="s">
        <v>65</v>
      </c>
      <c r="V120" s="260"/>
      <c r="W120" s="267" t="s">
        <v>1522</v>
      </c>
      <c r="X120" s="260" t="s">
        <v>1407</v>
      </c>
      <c r="Y120" s="269">
        <v>45064</v>
      </c>
      <c r="Z120" s="261" t="s">
        <v>1228</v>
      </c>
      <c r="AA120" s="260"/>
      <c r="AB120" s="261" t="s">
        <v>68</v>
      </c>
      <c r="AC120" s="261" t="s">
        <v>69</v>
      </c>
      <c r="AD120" s="260" t="s">
        <v>1523</v>
      </c>
      <c r="AE120" s="260">
        <v>830053669</v>
      </c>
      <c r="AF120" s="260">
        <v>5</v>
      </c>
      <c r="AG120" s="260" t="s">
        <v>517</v>
      </c>
      <c r="AH120" s="261" t="s">
        <v>297</v>
      </c>
      <c r="AI120" s="261" t="s">
        <v>466</v>
      </c>
      <c r="AJ120" s="289" t="s">
        <v>888</v>
      </c>
      <c r="AK120" s="273" t="s">
        <v>517</v>
      </c>
      <c r="AL120" s="273" t="s">
        <v>517</v>
      </c>
      <c r="AM120" s="261">
        <v>91123</v>
      </c>
      <c r="AN120" s="269">
        <v>45069</v>
      </c>
      <c r="AO120" s="266">
        <v>70000000</v>
      </c>
      <c r="AP120" s="260"/>
      <c r="AQ120" s="231"/>
      <c r="AR120" s="260"/>
      <c r="AS120" s="266">
        <v>70000000</v>
      </c>
      <c r="AT120" s="261" t="s">
        <v>75</v>
      </c>
      <c r="AU120" s="269">
        <v>45064</v>
      </c>
      <c r="AV120" s="261" t="s">
        <v>898</v>
      </c>
      <c r="AW120" s="269">
        <v>45071</v>
      </c>
      <c r="AX120" s="269">
        <v>45291</v>
      </c>
      <c r="AY120" s="259">
        <f t="shared" si="12"/>
        <v>220</v>
      </c>
      <c r="AZ120" s="261" t="s">
        <v>1524</v>
      </c>
      <c r="BA120" s="261">
        <v>1018473221</v>
      </c>
      <c r="BB120" s="266"/>
      <c r="BC120" s="267"/>
      <c r="BD120" s="260"/>
      <c r="BE120" s="267"/>
      <c r="BF120" s="260"/>
      <c r="BG120" s="267"/>
      <c r="BH120" s="266"/>
      <c r="BI120" s="267"/>
      <c r="BJ120" s="266">
        <v>70000000</v>
      </c>
      <c r="BK120" s="267"/>
      <c r="BL120" s="267"/>
      <c r="BM120" s="267"/>
      <c r="BN120" s="267"/>
      <c r="BO120" s="260"/>
      <c r="BP120" s="267"/>
      <c r="BQ120" s="267"/>
      <c r="BR120" s="266"/>
      <c r="BS120" s="267"/>
      <c r="BT120" s="261">
        <f t="shared" si="13"/>
        <v>220</v>
      </c>
      <c r="BU120" s="267"/>
      <c r="BV120" s="271"/>
    </row>
    <row r="121" spans="1:74" ht="15" customHeight="1" x14ac:dyDescent="0.25">
      <c r="A121" s="124" t="s">
        <v>459</v>
      </c>
      <c r="B121" s="124" t="s">
        <v>460</v>
      </c>
      <c r="C121" s="124" t="s">
        <v>481</v>
      </c>
      <c r="D121" s="39">
        <v>139</v>
      </c>
      <c r="E121" s="39" t="s">
        <v>409</v>
      </c>
      <c r="F121" s="39" t="s">
        <v>1143</v>
      </c>
      <c r="G121" s="44">
        <v>146163</v>
      </c>
      <c r="H121" s="42" t="s">
        <v>769</v>
      </c>
      <c r="I121" s="43">
        <v>44998</v>
      </c>
      <c r="J121" s="39" t="s">
        <v>1120</v>
      </c>
      <c r="K121" s="39" t="s">
        <v>1121</v>
      </c>
      <c r="L121" s="125" t="s">
        <v>766</v>
      </c>
      <c r="M121" s="42" t="s">
        <v>1314</v>
      </c>
      <c r="N121" s="125">
        <v>76111501</v>
      </c>
      <c r="O121" s="135" t="s">
        <v>1138</v>
      </c>
      <c r="P121" s="131">
        <v>78950587</v>
      </c>
      <c r="Q121" s="131">
        <v>78950587</v>
      </c>
      <c r="R121" s="39">
        <v>28623</v>
      </c>
      <c r="S121" s="42" t="s">
        <v>1037</v>
      </c>
      <c r="T121" s="125" t="s">
        <v>64</v>
      </c>
      <c r="U121" s="125" t="s">
        <v>65</v>
      </c>
      <c r="V121" s="39"/>
      <c r="W121" s="126" t="s">
        <v>1315</v>
      </c>
      <c r="X121" s="39" t="s">
        <v>1248</v>
      </c>
      <c r="Y121" s="43">
        <v>45019</v>
      </c>
      <c r="Z121" s="39" t="s">
        <v>1249</v>
      </c>
      <c r="AA121" s="39"/>
      <c r="AB121" s="39" t="s">
        <v>1316</v>
      </c>
      <c r="AC121" s="39"/>
      <c r="AD121" s="132" t="s">
        <v>1317</v>
      </c>
      <c r="AE121" s="39">
        <v>800093388</v>
      </c>
      <c r="AF121" s="39">
        <v>2</v>
      </c>
      <c r="AG121" s="39" t="s">
        <v>517</v>
      </c>
      <c r="AH121" s="39"/>
      <c r="AI121" s="39"/>
      <c r="AJ121" s="39"/>
      <c r="AK121" s="39" t="s">
        <v>517</v>
      </c>
      <c r="AL121" s="43" t="s">
        <v>517</v>
      </c>
      <c r="AM121" s="42">
        <v>66323</v>
      </c>
      <c r="AN121" s="43">
        <v>45021</v>
      </c>
      <c r="AO121" s="129">
        <v>78950587.099999994</v>
      </c>
      <c r="AP121" s="39"/>
      <c r="AQ121" s="45"/>
      <c r="AR121" s="39"/>
      <c r="AS121" s="176">
        <f>SUM(AO121+AP121+AQ121+AR121)</f>
        <v>78950587.099999994</v>
      </c>
      <c r="AT121" s="39" t="s">
        <v>297</v>
      </c>
      <c r="AU121" s="43">
        <v>45021</v>
      </c>
      <c r="AV121" s="125" t="s">
        <v>74</v>
      </c>
      <c r="AW121" s="43">
        <v>45019</v>
      </c>
      <c r="AX121" s="43">
        <v>45291</v>
      </c>
      <c r="AY121" s="124">
        <f t="shared" si="12"/>
        <v>272</v>
      </c>
      <c r="AZ121" s="133" t="s">
        <v>1318</v>
      </c>
      <c r="BA121" s="125">
        <v>41057375</v>
      </c>
      <c r="BB121" s="39"/>
      <c r="BC121" s="39"/>
      <c r="BD121" s="39"/>
      <c r="BE121" s="43"/>
      <c r="BF121" s="39"/>
      <c r="BG121" s="43"/>
      <c r="BH121" s="41"/>
      <c r="BI121" s="39"/>
      <c r="BJ121" s="127">
        <f t="shared" ref="BJ121:BJ127" si="14">SUM(AS121+BB121+BD121+BF121-BH121)</f>
        <v>78950587.099999994</v>
      </c>
      <c r="BK121" s="43"/>
      <c r="BL121" s="39"/>
      <c r="BM121" s="39"/>
      <c r="BN121" s="43"/>
      <c r="BO121" s="39"/>
      <c r="BP121" s="41"/>
      <c r="BQ121" s="43"/>
      <c r="BR121" s="39"/>
      <c r="BS121" s="43"/>
      <c r="BT121" s="39">
        <f t="shared" si="13"/>
        <v>272</v>
      </c>
      <c r="BU121" s="39"/>
      <c r="BV121" s="46"/>
    </row>
    <row r="122" spans="1:74" ht="15" customHeight="1" x14ac:dyDescent="0.25">
      <c r="A122" s="124" t="s">
        <v>459</v>
      </c>
      <c r="B122" s="124" t="s">
        <v>460</v>
      </c>
      <c r="C122" s="124" t="s">
        <v>481</v>
      </c>
      <c r="D122" s="39">
        <v>131</v>
      </c>
      <c r="E122" s="39" t="s">
        <v>409</v>
      </c>
      <c r="F122" s="39" t="s">
        <v>1140</v>
      </c>
      <c r="G122" s="44">
        <v>146169</v>
      </c>
      <c r="H122" s="42" t="s">
        <v>769</v>
      </c>
      <c r="I122" s="43">
        <v>44998</v>
      </c>
      <c r="J122" s="39" t="s">
        <v>1120</v>
      </c>
      <c r="K122" s="39" t="s">
        <v>1121</v>
      </c>
      <c r="L122" s="125" t="s">
        <v>766</v>
      </c>
      <c r="M122" s="42" t="s">
        <v>1301</v>
      </c>
      <c r="N122" s="125">
        <v>76111501</v>
      </c>
      <c r="O122" s="135" t="s">
        <v>1138</v>
      </c>
      <c r="P122" s="131">
        <v>24527659</v>
      </c>
      <c r="Q122" s="131">
        <v>24527659</v>
      </c>
      <c r="R122" s="39">
        <v>28623</v>
      </c>
      <c r="S122" s="42" t="s">
        <v>1037</v>
      </c>
      <c r="T122" s="125" t="s">
        <v>64</v>
      </c>
      <c r="U122" s="125" t="s">
        <v>65</v>
      </c>
      <c r="V122" s="39"/>
      <c r="W122" s="126" t="s">
        <v>1302</v>
      </c>
      <c r="X122" s="39" t="s">
        <v>1248</v>
      </c>
      <c r="Y122" s="43">
        <v>45019</v>
      </c>
      <c r="Z122" s="39" t="s">
        <v>1249</v>
      </c>
      <c r="AA122" s="39"/>
      <c r="AB122" s="39" t="s">
        <v>1303</v>
      </c>
      <c r="AC122" s="39"/>
      <c r="AD122" s="132" t="s">
        <v>1281</v>
      </c>
      <c r="AE122" s="42">
        <v>901677370</v>
      </c>
      <c r="AF122" s="39">
        <v>4</v>
      </c>
      <c r="AG122" s="39" t="s">
        <v>517</v>
      </c>
      <c r="AH122" s="39"/>
      <c r="AI122" s="39"/>
      <c r="AJ122" s="39"/>
      <c r="AK122" s="39" t="s">
        <v>517</v>
      </c>
      <c r="AL122" s="43" t="s">
        <v>517</v>
      </c>
      <c r="AM122" s="42">
        <v>66623</v>
      </c>
      <c r="AN122" s="43">
        <v>45021</v>
      </c>
      <c r="AO122" s="129">
        <v>23525852.359999999</v>
      </c>
      <c r="AP122" s="39"/>
      <c r="AQ122" s="45"/>
      <c r="AR122" s="39"/>
      <c r="AS122" s="176">
        <f>SUM(AO122+AP122+AQ122+AR122)</f>
        <v>23525852.359999999</v>
      </c>
      <c r="AT122" s="39" t="s">
        <v>297</v>
      </c>
      <c r="AU122" s="43">
        <v>45030</v>
      </c>
      <c r="AV122" s="125" t="s">
        <v>74</v>
      </c>
      <c r="AW122" s="43">
        <v>45019</v>
      </c>
      <c r="AX122" s="43">
        <v>45291</v>
      </c>
      <c r="AY122" s="124">
        <f t="shared" si="12"/>
        <v>272</v>
      </c>
      <c r="AZ122" s="134" t="s">
        <v>1304</v>
      </c>
      <c r="BA122" s="125">
        <v>17586972</v>
      </c>
      <c r="BB122" s="39"/>
      <c r="BC122" s="39"/>
      <c r="BD122" s="39"/>
      <c r="BE122" s="43"/>
      <c r="BF122" s="39"/>
      <c r="BG122" s="43"/>
      <c r="BH122" s="41"/>
      <c r="BI122" s="39"/>
      <c r="BJ122" s="127">
        <f t="shared" si="14"/>
        <v>23525852.359999999</v>
      </c>
      <c r="BK122" s="43"/>
      <c r="BL122" s="39"/>
      <c r="BM122" s="39"/>
      <c r="BN122" s="43"/>
      <c r="BO122" s="39"/>
      <c r="BP122" s="41"/>
      <c r="BQ122" s="43"/>
      <c r="BR122" s="39"/>
      <c r="BS122" s="43"/>
      <c r="BT122" s="39">
        <f t="shared" si="13"/>
        <v>272</v>
      </c>
      <c r="BU122" s="39"/>
      <c r="BV122" s="46"/>
    </row>
    <row r="123" spans="1:74" ht="15" customHeight="1" x14ac:dyDescent="0.25">
      <c r="A123" s="124" t="s">
        <v>459</v>
      </c>
      <c r="B123" s="124" t="s">
        <v>460</v>
      </c>
      <c r="C123" s="124" t="s">
        <v>481</v>
      </c>
      <c r="D123" s="39">
        <v>133</v>
      </c>
      <c r="E123" s="39" t="s">
        <v>409</v>
      </c>
      <c r="F123" s="39" t="s">
        <v>1137</v>
      </c>
      <c r="G123" s="44">
        <v>146124</v>
      </c>
      <c r="H123" s="42" t="s">
        <v>769</v>
      </c>
      <c r="I123" s="43">
        <v>44998</v>
      </c>
      <c r="J123" s="39" t="s">
        <v>1120</v>
      </c>
      <c r="K123" s="39" t="s">
        <v>1121</v>
      </c>
      <c r="L123" s="125" t="s">
        <v>766</v>
      </c>
      <c r="M123" s="42" t="s">
        <v>1277</v>
      </c>
      <c r="N123" s="125">
        <v>76111501</v>
      </c>
      <c r="O123" s="135" t="s">
        <v>1138</v>
      </c>
      <c r="P123" s="127">
        <v>152449229</v>
      </c>
      <c r="Q123" s="127">
        <v>152449229</v>
      </c>
      <c r="R123" s="39">
        <v>28623</v>
      </c>
      <c r="S123" s="42" t="s">
        <v>1037</v>
      </c>
      <c r="T123" s="125" t="s">
        <v>64</v>
      </c>
      <c r="U123" s="125" t="s">
        <v>65</v>
      </c>
      <c r="V123" s="39"/>
      <c r="W123" s="126" t="s">
        <v>1278</v>
      </c>
      <c r="X123" s="39" t="s">
        <v>1248</v>
      </c>
      <c r="Y123" s="43">
        <v>45019</v>
      </c>
      <c r="Z123" s="39" t="s">
        <v>1249</v>
      </c>
      <c r="AA123" s="39"/>
      <c r="AB123" s="39" t="s">
        <v>1279</v>
      </c>
      <c r="AC123" s="39" t="s">
        <v>1280</v>
      </c>
      <c r="AD123" s="132" t="s">
        <v>1281</v>
      </c>
      <c r="AE123" s="42">
        <v>901677370</v>
      </c>
      <c r="AF123" s="39">
        <v>4</v>
      </c>
      <c r="AG123" s="39" t="s">
        <v>517</v>
      </c>
      <c r="AH123" s="39"/>
      <c r="AI123" s="39"/>
      <c r="AJ123" s="39"/>
      <c r="AK123" s="39" t="s">
        <v>517</v>
      </c>
      <c r="AL123" s="43" t="s">
        <v>517</v>
      </c>
      <c r="AM123" s="42">
        <v>66523</v>
      </c>
      <c r="AN123" s="43">
        <v>45019</v>
      </c>
      <c r="AO123" s="129">
        <v>144975089.46000001</v>
      </c>
      <c r="AP123" s="39"/>
      <c r="AQ123" s="45"/>
      <c r="AR123" s="39"/>
      <c r="AS123" s="176">
        <f>SUM(AO123+AP123+AQ123+AR123)</f>
        <v>144975089.46000001</v>
      </c>
      <c r="AT123" s="39" t="s">
        <v>297</v>
      </c>
      <c r="AU123" s="43">
        <v>45026</v>
      </c>
      <c r="AV123" s="125" t="s">
        <v>74</v>
      </c>
      <c r="AW123" s="43">
        <v>45019</v>
      </c>
      <c r="AX123" s="43">
        <v>45291</v>
      </c>
      <c r="AY123" s="124">
        <f t="shared" si="12"/>
        <v>272</v>
      </c>
      <c r="AZ123" s="133" t="s">
        <v>1282</v>
      </c>
      <c r="BA123" s="125">
        <v>67026330</v>
      </c>
      <c r="BB123" s="39"/>
      <c r="BC123" s="39"/>
      <c r="BD123" s="39"/>
      <c r="BE123" s="43"/>
      <c r="BF123" s="39"/>
      <c r="BG123" s="43"/>
      <c r="BH123" s="41"/>
      <c r="BI123" s="39"/>
      <c r="BJ123" s="127">
        <f t="shared" si="14"/>
        <v>144975089.46000001</v>
      </c>
      <c r="BK123" s="43"/>
      <c r="BL123" s="39"/>
      <c r="BM123" s="39"/>
      <c r="BN123" s="43"/>
      <c r="BO123" s="39"/>
      <c r="BP123" s="41"/>
      <c r="BQ123" s="43"/>
      <c r="BR123" s="39"/>
      <c r="BS123" s="43"/>
      <c r="BT123" s="39">
        <f t="shared" si="13"/>
        <v>272</v>
      </c>
      <c r="BU123" s="39"/>
      <c r="BV123" s="46"/>
    </row>
    <row r="124" spans="1:74" ht="15" customHeight="1" x14ac:dyDescent="0.25">
      <c r="A124" s="124" t="s">
        <v>459</v>
      </c>
      <c r="B124" s="124" t="s">
        <v>460</v>
      </c>
      <c r="C124" s="124" t="s">
        <v>481</v>
      </c>
      <c r="D124" s="39">
        <v>132</v>
      </c>
      <c r="E124" s="39" t="s">
        <v>409</v>
      </c>
      <c r="F124" s="39" t="s">
        <v>1139</v>
      </c>
      <c r="G124" s="44">
        <v>146167</v>
      </c>
      <c r="H124" s="42" t="s">
        <v>769</v>
      </c>
      <c r="I124" s="43">
        <v>44998</v>
      </c>
      <c r="J124" s="39" t="s">
        <v>1120</v>
      </c>
      <c r="K124" s="39" t="s">
        <v>1121</v>
      </c>
      <c r="L124" s="125" t="s">
        <v>766</v>
      </c>
      <c r="M124" s="42" t="s">
        <v>1283</v>
      </c>
      <c r="N124" s="125">
        <v>76111501</v>
      </c>
      <c r="O124" s="135" t="s">
        <v>1138</v>
      </c>
      <c r="P124" s="131">
        <v>90896788</v>
      </c>
      <c r="Q124" s="131">
        <v>90896788</v>
      </c>
      <c r="R124" s="39">
        <v>28623</v>
      </c>
      <c r="S124" s="42" t="s">
        <v>1037</v>
      </c>
      <c r="T124" s="125" t="s">
        <v>64</v>
      </c>
      <c r="U124" s="125" t="s">
        <v>65</v>
      </c>
      <c r="V124" s="39"/>
      <c r="W124" s="126">
        <v>108075</v>
      </c>
      <c r="X124" s="39" t="s">
        <v>1248</v>
      </c>
      <c r="Y124" s="43">
        <v>45036</v>
      </c>
      <c r="Z124" s="39" t="s">
        <v>1249</v>
      </c>
      <c r="AA124" s="39"/>
      <c r="AB124" s="39" t="s">
        <v>1284</v>
      </c>
      <c r="AC124" s="39" t="s">
        <v>1285</v>
      </c>
      <c r="AD124" s="132" t="s">
        <v>1281</v>
      </c>
      <c r="AE124" s="42">
        <v>901677370</v>
      </c>
      <c r="AF124" s="39"/>
      <c r="AG124" s="39" t="s">
        <v>517</v>
      </c>
      <c r="AH124" s="39"/>
      <c r="AI124" s="39"/>
      <c r="AJ124" s="39"/>
      <c r="AK124" s="39" t="s">
        <v>517</v>
      </c>
      <c r="AL124" s="43" t="s">
        <v>517</v>
      </c>
      <c r="AM124" s="42">
        <v>75023</v>
      </c>
      <c r="AN124" s="43">
        <v>45037</v>
      </c>
      <c r="AO124" s="129">
        <v>87025363.060000002</v>
      </c>
      <c r="AP124" s="39"/>
      <c r="AQ124" s="45"/>
      <c r="AR124" s="39"/>
      <c r="AS124" s="176">
        <f>SUM(AO124+AP124+AQ124+AR124)</f>
        <v>87025363.060000002</v>
      </c>
      <c r="AT124" s="39" t="s">
        <v>297</v>
      </c>
      <c r="AU124" s="43" t="s">
        <v>1253</v>
      </c>
      <c r="AV124" s="125" t="s">
        <v>74</v>
      </c>
      <c r="AW124" s="43">
        <v>45036</v>
      </c>
      <c r="AX124" s="43">
        <v>45291</v>
      </c>
      <c r="AY124" s="124">
        <f t="shared" si="12"/>
        <v>255</v>
      </c>
      <c r="AZ124" s="133" t="s">
        <v>1286</v>
      </c>
      <c r="BA124" s="125">
        <v>25166983</v>
      </c>
      <c r="BB124" s="39"/>
      <c r="BC124" s="39"/>
      <c r="BD124" s="39"/>
      <c r="BE124" s="43"/>
      <c r="BF124" s="39"/>
      <c r="BG124" s="43"/>
      <c r="BH124" s="41"/>
      <c r="BI124" s="39"/>
      <c r="BJ124" s="127">
        <f t="shared" si="14"/>
        <v>87025363.060000002</v>
      </c>
      <c r="BK124" s="43"/>
      <c r="BL124" s="39"/>
      <c r="BM124" s="39"/>
      <c r="BN124" s="43"/>
      <c r="BO124" s="39"/>
      <c r="BP124" s="41"/>
      <c r="BQ124" s="43"/>
      <c r="BR124" s="39"/>
      <c r="BS124" s="43"/>
      <c r="BT124" s="39">
        <f t="shared" si="13"/>
        <v>255</v>
      </c>
      <c r="BU124" s="39"/>
      <c r="BV124" s="46"/>
    </row>
    <row r="125" spans="1:74" ht="15" customHeight="1" x14ac:dyDescent="0.25">
      <c r="A125" s="124" t="s">
        <v>459</v>
      </c>
      <c r="B125" s="124" t="s">
        <v>460</v>
      </c>
      <c r="C125" s="124" t="s">
        <v>481</v>
      </c>
      <c r="D125" s="39">
        <v>131</v>
      </c>
      <c r="E125" s="39" t="s">
        <v>409</v>
      </c>
      <c r="F125" s="39" t="s">
        <v>1140</v>
      </c>
      <c r="G125" s="44">
        <v>146169</v>
      </c>
      <c r="H125" s="42" t="s">
        <v>769</v>
      </c>
      <c r="I125" s="43">
        <v>44998</v>
      </c>
      <c r="J125" s="39" t="s">
        <v>1120</v>
      </c>
      <c r="K125" s="39" t="s">
        <v>1121</v>
      </c>
      <c r="L125" s="39" t="s">
        <v>61</v>
      </c>
      <c r="M125" s="42" t="s">
        <v>1141</v>
      </c>
      <c r="N125" s="125">
        <v>76111501</v>
      </c>
      <c r="O125" s="135" t="s">
        <v>1138</v>
      </c>
      <c r="P125" s="131">
        <v>24527659</v>
      </c>
      <c r="Q125" s="131">
        <v>24527659</v>
      </c>
      <c r="R125" s="39">
        <v>28623</v>
      </c>
      <c r="S125" s="42" t="s">
        <v>1037</v>
      </c>
      <c r="T125" s="42" t="s">
        <v>448</v>
      </c>
      <c r="U125" s="39"/>
      <c r="V125" s="39"/>
      <c r="W125" s="43"/>
      <c r="X125" s="39"/>
      <c r="Y125" s="39"/>
      <c r="Z125" s="39"/>
      <c r="AA125" s="39"/>
      <c r="AB125" s="39"/>
      <c r="AC125" s="39"/>
      <c r="AD125" s="39"/>
      <c r="AE125" s="39"/>
      <c r="AF125" s="39"/>
      <c r="AG125" s="39"/>
      <c r="AH125" s="39"/>
      <c r="AI125" s="39"/>
      <c r="AJ125" s="39"/>
      <c r="AK125" s="39"/>
      <c r="AL125" s="43"/>
      <c r="AM125" s="41"/>
      <c r="AN125" s="39"/>
      <c r="AO125" s="39"/>
      <c r="AP125" s="39"/>
      <c r="AQ125" s="45"/>
      <c r="AR125" s="39"/>
      <c r="AS125" s="43"/>
      <c r="AT125" s="39"/>
      <c r="AU125" s="43"/>
      <c r="AV125" s="43"/>
      <c r="AW125" s="39"/>
      <c r="AX125" s="39"/>
      <c r="AY125" s="38"/>
      <c r="AZ125" s="41"/>
      <c r="BA125" s="43"/>
      <c r="BB125" s="39"/>
      <c r="BC125" s="39"/>
      <c r="BD125" s="39"/>
      <c r="BE125" s="43"/>
      <c r="BF125" s="39"/>
      <c r="BG125" s="43"/>
      <c r="BH125" s="41"/>
      <c r="BI125" s="39"/>
      <c r="BJ125" s="127">
        <f t="shared" si="14"/>
        <v>0</v>
      </c>
      <c r="BK125" s="43"/>
      <c r="BL125" s="39"/>
      <c r="BM125" s="39"/>
      <c r="BN125" s="43"/>
      <c r="BO125" s="39"/>
      <c r="BP125" s="41"/>
      <c r="BQ125" s="43"/>
      <c r="BR125" s="39"/>
      <c r="BS125" s="43"/>
      <c r="BT125" s="39"/>
      <c r="BU125" s="39"/>
      <c r="BV125" s="46"/>
    </row>
    <row r="126" spans="1:74" ht="15" customHeight="1" x14ac:dyDescent="0.25">
      <c r="A126" s="124" t="s">
        <v>459</v>
      </c>
      <c r="B126" s="124" t="s">
        <v>460</v>
      </c>
      <c r="C126" s="124" t="s">
        <v>481</v>
      </c>
      <c r="D126" s="39">
        <v>141</v>
      </c>
      <c r="E126" s="39" t="s">
        <v>409</v>
      </c>
      <c r="F126" s="39" t="s">
        <v>1142</v>
      </c>
      <c r="G126" s="44">
        <v>146165</v>
      </c>
      <c r="H126" s="42" t="s">
        <v>769</v>
      </c>
      <c r="I126" s="43">
        <v>44998</v>
      </c>
      <c r="J126" s="39" t="s">
        <v>1120</v>
      </c>
      <c r="K126" s="39" t="s">
        <v>1121</v>
      </c>
      <c r="L126" s="125" t="s">
        <v>766</v>
      </c>
      <c r="M126" s="42" t="s">
        <v>1322</v>
      </c>
      <c r="N126" s="125">
        <v>76111501</v>
      </c>
      <c r="O126" s="135" t="s">
        <v>1138</v>
      </c>
      <c r="P126" s="131">
        <v>67610538</v>
      </c>
      <c r="Q126" s="131">
        <v>67610538</v>
      </c>
      <c r="R126" s="39">
        <v>28623</v>
      </c>
      <c r="S126" s="42" t="s">
        <v>1037</v>
      </c>
      <c r="T126" s="125" t="s">
        <v>64</v>
      </c>
      <c r="U126" s="125" t="s">
        <v>65</v>
      </c>
      <c r="V126" s="39"/>
      <c r="W126" s="126">
        <v>107283</v>
      </c>
      <c r="X126" s="39" t="s">
        <v>1248</v>
      </c>
      <c r="Y126" s="43">
        <v>45019</v>
      </c>
      <c r="Z126" s="39" t="s">
        <v>1249</v>
      </c>
      <c r="AA126" s="39"/>
      <c r="AB126" s="39" t="s">
        <v>1323</v>
      </c>
      <c r="AC126" s="39"/>
      <c r="AD126" s="132" t="s">
        <v>1317</v>
      </c>
      <c r="AE126" s="39">
        <v>800093388</v>
      </c>
      <c r="AF126" s="39">
        <v>2</v>
      </c>
      <c r="AG126" s="39" t="s">
        <v>517</v>
      </c>
      <c r="AH126" s="39"/>
      <c r="AI126" s="39"/>
      <c r="AJ126" s="39"/>
      <c r="AK126" s="39" t="s">
        <v>517</v>
      </c>
      <c r="AL126" s="43" t="s">
        <v>517</v>
      </c>
      <c r="AM126" s="42">
        <v>66423</v>
      </c>
      <c r="AN126" s="43">
        <v>45021</v>
      </c>
      <c r="AO126" s="129">
        <v>67610537.629999995</v>
      </c>
      <c r="AP126" s="39"/>
      <c r="AQ126" s="45"/>
      <c r="AR126" s="39"/>
      <c r="AS126" s="176">
        <f>SUM(AO126+AP126+AQ126+AR126)</f>
        <v>67610537.629999995</v>
      </c>
      <c r="AT126" s="39" t="s">
        <v>297</v>
      </c>
      <c r="AU126" s="43">
        <v>45020</v>
      </c>
      <c r="AV126" s="125" t="s">
        <v>74</v>
      </c>
      <c r="AW126" s="43">
        <v>45019</v>
      </c>
      <c r="AX126" s="43">
        <v>45291</v>
      </c>
      <c r="AY126" s="124">
        <f>(AX126-AW126)</f>
        <v>272</v>
      </c>
      <c r="AZ126" s="133" t="s">
        <v>1324</v>
      </c>
      <c r="BA126" s="125">
        <v>80037461</v>
      </c>
      <c r="BB126" s="39"/>
      <c r="BC126" s="39"/>
      <c r="BD126" s="39"/>
      <c r="BE126" s="43"/>
      <c r="BF126" s="39"/>
      <c r="BG126" s="43"/>
      <c r="BH126" s="41"/>
      <c r="BI126" s="39"/>
      <c r="BJ126" s="127">
        <f t="shared" si="14"/>
        <v>67610537.629999995</v>
      </c>
      <c r="BK126" s="43"/>
      <c r="BL126" s="39"/>
      <c r="BM126" s="39"/>
      <c r="BN126" s="43"/>
      <c r="BO126" s="39"/>
      <c r="BP126" s="41"/>
      <c r="BQ126" s="43"/>
      <c r="BR126" s="39"/>
      <c r="BS126" s="43"/>
      <c r="BT126" s="39">
        <f>SUM(AY126+BK126+BN126+BQ126)</f>
        <v>272</v>
      </c>
      <c r="BU126" s="39"/>
      <c r="BV126" s="46"/>
    </row>
    <row r="127" spans="1:74" ht="15" customHeight="1" x14ac:dyDescent="0.25">
      <c r="A127" s="123" t="s">
        <v>459</v>
      </c>
      <c r="B127" s="124" t="s">
        <v>460</v>
      </c>
      <c r="C127" s="124" t="s">
        <v>481</v>
      </c>
      <c r="D127" s="39">
        <v>139</v>
      </c>
      <c r="E127" s="39" t="s">
        <v>409</v>
      </c>
      <c r="F127" s="39" t="s">
        <v>1143</v>
      </c>
      <c r="G127" s="44">
        <v>146163</v>
      </c>
      <c r="H127" s="42" t="s">
        <v>1155</v>
      </c>
      <c r="I127" s="43">
        <v>45019</v>
      </c>
      <c r="J127" s="39" t="s">
        <v>1120</v>
      </c>
      <c r="K127" s="39" t="s">
        <v>1121</v>
      </c>
      <c r="L127" s="125" t="s">
        <v>766</v>
      </c>
      <c r="M127" s="70" t="s">
        <v>1314</v>
      </c>
      <c r="N127" s="125">
        <v>76111501</v>
      </c>
      <c r="O127" s="135" t="s">
        <v>1138</v>
      </c>
      <c r="P127" s="131">
        <v>78950587</v>
      </c>
      <c r="Q127" s="131">
        <v>78950587</v>
      </c>
      <c r="R127" s="39">
        <v>28623</v>
      </c>
      <c r="S127" s="42" t="s">
        <v>1037</v>
      </c>
      <c r="T127" s="125" t="s">
        <v>64</v>
      </c>
      <c r="U127" s="125" t="s">
        <v>65</v>
      </c>
      <c r="V127" s="39"/>
      <c r="W127" s="126" t="s">
        <v>1315</v>
      </c>
      <c r="X127" s="39" t="s">
        <v>1248</v>
      </c>
      <c r="Y127" s="43">
        <v>45019</v>
      </c>
      <c r="Z127" s="39" t="s">
        <v>1249</v>
      </c>
      <c r="AA127" s="39"/>
      <c r="AB127" s="39" t="s">
        <v>1316</v>
      </c>
      <c r="AC127" s="39"/>
      <c r="AD127" s="132" t="s">
        <v>1317</v>
      </c>
      <c r="AE127" s="39">
        <v>800093388</v>
      </c>
      <c r="AF127" s="39">
        <v>2</v>
      </c>
      <c r="AG127" s="39" t="s">
        <v>517</v>
      </c>
      <c r="AH127" s="39"/>
      <c r="AI127" s="39"/>
      <c r="AJ127" s="39"/>
      <c r="AK127" s="39" t="s">
        <v>517</v>
      </c>
      <c r="AL127" s="43" t="s">
        <v>517</v>
      </c>
      <c r="AM127" s="42">
        <v>66323</v>
      </c>
      <c r="AN127" s="43">
        <v>45021</v>
      </c>
      <c r="AO127" s="129">
        <v>78950587.099999994</v>
      </c>
      <c r="AP127" s="39"/>
      <c r="AQ127" s="45"/>
      <c r="AR127" s="39"/>
      <c r="AS127" s="176">
        <f>SUM(AO127+AP127+AQ127+AR127)</f>
        <v>78950587.099999994</v>
      </c>
      <c r="AT127" s="39" t="s">
        <v>297</v>
      </c>
      <c r="AU127" s="43">
        <v>45021</v>
      </c>
      <c r="AV127" s="136" t="s">
        <v>74</v>
      </c>
      <c r="AW127" s="43">
        <v>45019</v>
      </c>
      <c r="AX127" s="43">
        <v>45291</v>
      </c>
      <c r="AY127" s="125">
        <f>(AX127-AW127)</f>
        <v>272</v>
      </c>
      <c r="AZ127" s="137" t="s">
        <v>1318</v>
      </c>
      <c r="BA127" s="125">
        <v>41057375</v>
      </c>
      <c r="BB127" s="39"/>
      <c r="BC127" s="39"/>
      <c r="BD127" s="39"/>
      <c r="BE127" s="43"/>
      <c r="BF127" s="39"/>
      <c r="BG127" s="43"/>
      <c r="BH127" s="41"/>
      <c r="BI127" s="39"/>
      <c r="BJ127" s="127">
        <f t="shared" si="14"/>
        <v>78950587.099999994</v>
      </c>
      <c r="BK127" s="43"/>
      <c r="BL127" s="39"/>
      <c r="BM127" s="39"/>
      <c r="BN127" s="43"/>
      <c r="BO127" s="39"/>
      <c r="BP127" s="41"/>
      <c r="BQ127" s="43"/>
      <c r="BR127" s="39"/>
      <c r="BS127" s="43"/>
      <c r="BT127" s="39">
        <f>SUM(AY127+BK127+BN127+BQ127)</f>
        <v>272</v>
      </c>
      <c r="BU127" s="39"/>
      <c r="BV127" s="46"/>
    </row>
    <row r="128" spans="1:74" s="3" customFormat="1" ht="15" customHeight="1" x14ac:dyDescent="0.25">
      <c r="A128" s="14" t="s">
        <v>459</v>
      </c>
      <c r="B128" s="4" t="s">
        <v>460</v>
      </c>
      <c r="C128" s="7" t="s">
        <v>54</v>
      </c>
      <c r="D128" s="3">
        <v>282</v>
      </c>
      <c r="E128" s="3" t="s">
        <v>55</v>
      </c>
      <c r="F128" s="13" t="s">
        <v>809</v>
      </c>
      <c r="G128" s="1" t="s">
        <v>804</v>
      </c>
      <c r="H128" s="3" t="s">
        <v>769</v>
      </c>
      <c r="I128" s="24">
        <v>44999</v>
      </c>
      <c r="J128" s="3" t="s">
        <v>59</v>
      </c>
      <c r="K128" s="3" t="s">
        <v>60</v>
      </c>
      <c r="L128" s="1" t="s">
        <v>250</v>
      </c>
      <c r="M128" s="13" t="s">
        <v>805</v>
      </c>
      <c r="N128" s="1">
        <v>80161504</v>
      </c>
      <c r="O128" s="1" t="s">
        <v>806</v>
      </c>
      <c r="P128" s="2">
        <v>42750000</v>
      </c>
      <c r="Q128" s="2">
        <v>42750000</v>
      </c>
      <c r="R128" s="1">
        <v>28123</v>
      </c>
      <c r="S128" s="1" t="s">
        <v>89</v>
      </c>
      <c r="T128" s="3" t="s">
        <v>64</v>
      </c>
      <c r="U128" s="1" t="s">
        <v>65</v>
      </c>
      <c r="V128" s="1"/>
      <c r="W128" s="1" t="s">
        <v>807</v>
      </c>
      <c r="X128" s="1" t="s">
        <v>769</v>
      </c>
      <c r="Y128" s="18">
        <v>45001</v>
      </c>
      <c r="Z128" s="1" t="s">
        <v>67</v>
      </c>
      <c r="AA128" s="1"/>
      <c r="AB128" s="1" t="s">
        <v>68</v>
      </c>
      <c r="AC128" s="1" t="s">
        <v>69</v>
      </c>
      <c r="AD128" s="1" t="s">
        <v>808</v>
      </c>
      <c r="AE128" s="1">
        <v>1023910419</v>
      </c>
      <c r="AF128" s="1"/>
      <c r="AG128" s="1" t="s">
        <v>602</v>
      </c>
      <c r="AH128" s="1"/>
      <c r="AK128" s="1"/>
      <c r="AL128" s="317" t="e">
        <f ca="1">+YEAR(TODAY())-YEAR([4]!Tabla1[[#This Row],[FECHA DE NACIMIENTO]])</f>
        <v>#REF!</v>
      </c>
      <c r="AM128" s="1">
        <v>57123</v>
      </c>
      <c r="AN128" s="18">
        <v>45002</v>
      </c>
      <c r="AO128" s="2">
        <v>42750000</v>
      </c>
      <c r="AP128" s="1"/>
      <c r="AQ128" s="1"/>
      <c r="AR128" s="1"/>
      <c r="AS128" s="318">
        <v>42750000</v>
      </c>
      <c r="AT128" s="1" t="s">
        <v>75</v>
      </c>
      <c r="AU128" s="18">
        <v>45001</v>
      </c>
      <c r="AV128" s="1" t="s">
        <v>74</v>
      </c>
      <c r="AW128" s="18">
        <v>45002</v>
      </c>
      <c r="AX128" s="18">
        <v>45291</v>
      </c>
      <c r="AY128" s="7">
        <f t="shared" ref="AY128" si="15">(AX128-AW128)</f>
        <v>289</v>
      </c>
      <c r="AZ128" s="1" t="s">
        <v>437</v>
      </c>
      <c r="BA128" s="1">
        <v>393757630</v>
      </c>
      <c r="BB128" s="2"/>
      <c r="BC128" s="18"/>
      <c r="BD128" s="1"/>
      <c r="BE128" s="1"/>
      <c r="BF128" s="1"/>
      <c r="BG128" s="18"/>
      <c r="BH128" s="1"/>
      <c r="BI128" s="18"/>
      <c r="BJ128" s="2"/>
      <c r="BK128" s="1"/>
      <c r="BL128" s="18"/>
      <c r="BM128" s="18"/>
      <c r="BN128" s="1"/>
      <c r="BO128" s="1"/>
      <c r="BP128" s="18"/>
      <c r="BQ128" s="1"/>
      <c r="BR128" s="2"/>
      <c r="BS128" s="18"/>
      <c r="BT128" s="1"/>
      <c r="BU128" s="18"/>
      <c r="BV128" s="286"/>
    </row>
    <row r="129" spans="1:74" ht="15" customHeight="1" x14ac:dyDescent="0.25">
      <c r="A129" s="36" t="s">
        <v>459</v>
      </c>
      <c r="B129" s="37" t="s">
        <v>460</v>
      </c>
      <c r="C129" s="38" t="s">
        <v>54</v>
      </c>
      <c r="D129" s="39">
        <v>273</v>
      </c>
      <c r="E129" s="39" t="s">
        <v>55</v>
      </c>
      <c r="F129" s="39" t="s">
        <v>811</v>
      </c>
      <c r="G129" s="42" t="s">
        <v>810</v>
      </c>
      <c r="H129" s="39" t="s">
        <v>769</v>
      </c>
      <c r="I129" s="71">
        <v>44999</v>
      </c>
      <c r="J129" s="39" t="s">
        <v>59</v>
      </c>
      <c r="K129" s="39" t="s">
        <v>330</v>
      </c>
      <c r="L129" s="42" t="s">
        <v>340</v>
      </c>
      <c r="M129" s="67" t="e">
        <f>+UPPER(#REF!)</f>
        <v>#REF!</v>
      </c>
      <c r="N129" s="42" t="e">
        <f>+UPPER(Tabla13[[#This Row],[OBJETO]])</f>
        <v>#REF!</v>
      </c>
      <c r="O129" s="42" t="e">
        <f>+UPPER(Tabla13[[#This Row],[CODIGO UNSCSP]])</f>
        <v>#REF!</v>
      </c>
      <c r="P129" s="50" t="e">
        <f>+UPPER(Tabla13[[#This Row],[NOMBRE DE CODIGO]])</f>
        <v>#REF!</v>
      </c>
      <c r="Q129" s="50" t="e">
        <f>+UPPER(Tabla13[[#This Row],[VALOR PROCESO EN EL PAABS SECOP II]])</f>
        <v>#REF!</v>
      </c>
      <c r="R129" s="42" t="e">
        <f>+UPPER(Tabla13[[#This Row],[VALOR PROCESO  ESTUDIOS PREVIOS ]])</f>
        <v>#REF!</v>
      </c>
      <c r="S129" s="42" t="e">
        <f>+UPPER(Tabla13[[#This Row],[CDP]])</f>
        <v>#REF!</v>
      </c>
      <c r="T129" s="39" t="e">
        <f>+UPPER(Tabla13[[#This Row],[RUBRO]])</f>
        <v>#REF!</v>
      </c>
      <c r="U129" s="42" t="e">
        <f>+UPPER(Tabla13[[#This Row],[ETAPA]])</f>
        <v>#REF!</v>
      </c>
      <c r="V129" s="42" t="e">
        <f>+UPPER(Tabla13[[#This Row],[ESTADO]])</f>
        <v>#REF!</v>
      </c>
      <c r="W129" s="42" t="e">
        <f>+UPPER(Tabla13[[#This Row],[RESOLUCION DECLARACTORIA DESIERTO]])</f>
        <v>#REF!</v>
      </c>
      <c r="X129" s="42" t="e">
        <f>+UPPER(Tabla13[[#This Row],[N° DE CONTRATO CELEBRADO]])</f>
        <v>#REF!</v>
      </c>
      <c r="Y129" s="40" t="e">
        <f>+UPPER(Tabla13[[#This Row],[MES2]])</f>
        <v>#REF!</v>
      </c>
      <c r="Z129" s="42" t="e">
        <f>+UPPER(Tabla13[[#This Row],[FECHA DE FIRMA CONTRATO]])</f>
        <v>#REF!</v>
      </c>
      <c r="AA129" s="42" t="e">
        <f>+UPPER(Tabla13[[#This Row],[TIPO DE CONTRATO]])</f>
        <v>#REF!</v>
      </c>
      <c r="AB129" s="42" t="e">
        <f>+UPPER(Tabla13[[#This Row],[OTRO TIPO DE CONTRATO]])</f>
        <v>#REF!</v>
      </c>
      <c r="AC129" s="42" t="e">
        <f>+UPPER(Tabla13[[#This Row],[REGIONAL]])</f>
        <v>#REF!</v>
      </c>
      <c r="AD129" s="42" t="e">
        <f>+UPPER(Tabla13[[#This Row],[
LUGAR DE EJECUCION
]])</f>
        <v>#REF!</v>
      </c>
      <c r="AE129" s="42" t="e">
        <f>+UPPER(Tabla13[[#This Row],[CONTRATISTA]])</f>
        <v>#REF!</v>
      </c>
      <c r="AF129" s="42" t="e">
        <f>+UPPER(Tabla13[[#This Row],[IDENTIFICACION]])</f>
        <v>#REF!</v>
      </c>
      <c r="AG129" s="42" t="e">
        <f>+UPPER(Tabla13[[#This Row],[DV]])</f>
        <v>#REF!</v>
      </c>
      <c r="AH129" s="42" t="e">
        <f>+UPPER(Tabla13[[#This Row],[PROFESIÓN]])</f>
        <v>#REF!</v>
      </c>
      <c r="AI129" s="39" t="e">
        <f>+UPPER(Tabla13[[#This Row],[MYPIME]])</f>
        <v>#REF!</v>
      </c>
      <c r="AJ129" s="39"/>
      <c r="AK129" s="42"/>
      <c r="AL129" s="52">
        <f ca="1">+YEAR(TODAY())-YEAR(Tabla13[[#This Row],[FECHA DE NACIMIENTO]])</f>
        <v>123</v>
      </c>
      <c r="AM129" s="42"/>
      <c r="AN129" s="55"/>
      <c r="AO129" s="50"/>
      <c r="AP129" s="42"/>
      <c r="AQ129" s="42"/>
      <c r="AR129" s="42"/>
      <c r="AS129" s="122"/>
      <c r="AT129" s="42"/>
      <c r="AU129" s="55"/>
      <c r="AV129" s="54"/>
      <c r="AW129" s="55"/>
      <c r="AX129" s="55"/>
      <c r="AY129" s="39"/>
      <c r="AZ129" s="70"/>
      <c r="BA129" s="42"/>
      <c r="BB129" s="50"/>
      <c r="BC129" s="55"/>
      <c r="BD129" s="42"/>
      <c r="BE129" s="42"/>
      <c r="BF129" s="42"/>
      <c r="BG129" s="55"/>
      <c r="BH129" s="42"/>
      <c r="BI129" s="55"/>
      <c r="BJ129" s="50"/>
      <c r="BK129" s="42"/>
      <c r="BL129" s="55"/>
      <c r="BM129" s="55"/>
      <c r="BN129" s="42"/>
      <c r="BO129" s="42"/>
      <c r="BP129" s="55"/>
      <c r="BQ129" s="42"/>
      <c r="BR129" s="50"/>
      <c r="BS129" s="55"/>
      <c r="BT129" s="42"/>
      <c r="BU129" s="55"/>
      <c r="BV129" s="54"/>
    </row>
    <row r="130" spans="1:74" ht="15" customHeight="1" x14ac:dyDescent="0.25">
      <c r="A130" s="123" t="s">
        <v>459</v>
      </c>
      <c r="B130" s="124" t="s">
        <v>460</v>
      </c>
      <c r="C130" s="124" t="s">
        <v>481</v>
      </c>
      <c r="D130" s="39">
        <v>138</v>
      </c>
      <c r="E130" s="39" t="s">
        <v>409</v>
      </c>
      <c r="F130" s="39" t="s">
        <v>1147</v>
      </c>
      <c r="G130" s="44">
        <v>146268</v>
      </c>
      <c r="H130" s="42" t="s">
        <v>1155</v>
      </c>
      <c r="I130" s="43">
        <v>45026</v>
      </c>
      <c r="J130" s="39" t="s">
        <v>1120</v>
      </c>
      <c r="K130" s="39" t="s">
        <v>1121</v>
      </c>
      <c r="L130" s="125" t="s">
        <v>766</v>
      </c>
      <c r="M130" s="70" t="s">
        <v>1309</v>
      </c>
      <c r="N130" s="125">
        <v>76111501</v>
      </c>
      <c r="O130" s="135" t="s">
        <v>1138</v>
      </c>
      <c r="P130" s="131">
        <v>95973449</v>
      </c>
      <c r="Q130" s="131">
        <v>95973449</v>
      </c>
      <c r="R130" s="39">
        <v>28623</v>
      </c>
      <c r="S130" s="42" t="s">
        <v>1037</v>
      </c>
      <c r="T130" s="125" t="s">
        <v>64</v>
      </c>
      <c r="U130" s="125" t="s">
        <v>65</v>
      </c>
      <c r="V130" s="39"/>
      <c r="W130" s="126" t="s">
        <v>1310</v>
      </c>
      <c r="X130" s="39" t="s">
        <v>1248</v>
      </c>
      <c r="Y130" s="43">
        <v>45028</v>
      </c>
      <c r="Z130" s="39" t="s">
        <v>1249</v>
      </c>
      <c r="AA130" s="39"/>
      <c r="AB130" s="39" t="s">
        <v>1311</v>
      </c>
      <c r="AC130" s="39"/>
      <c r="AD130" s="132" t="s">
        <v>1312</v>
      </c>
      <c r="AE130" s="39">
        <v>900427788</v>
      </c>
      <c r="AF130" s="39">
        <v>3</v>
      </c>
      <c r="AG130" s="39" t="s">
        <v>517</v>
      </c>
      <c r="AH130" s="39"/>
      <c r="AI130" s="39"/>
      <c r="AJ130" s="39"/>
      <c r="AK130" s="39" t="s">
        <v>517</v>
      </c>
      <c r="AL130" s="43" t="s">
        <v>517</v>
      </c>
      <c r="AM130" s="42">
        <v>70323</v>
      </c>
      <c r="AN130" s="43">
        <v>45029</v>
      </c>
      <c r="AO130" s="129">
        <v>95973448.730000004</v>
      </c>
      <c r="AP130" s="39"/>
      <c r="AQ130" s="45"/>
      <c r="AR130" s="39"/>
      <c r="AS130" s="176">
        <f>SUM(AO130+AP130+AQ130+AR130)</f>
        <v>95973448.730000004</v>
      </c>
      <c r="AT130" s="39" t="s">
        <v>297</v>
      </c>
      <c r="AU130" s="43">
        <v>45037</v>
      </c>
      <c r="AV130" s="136" t="s">
        <v>74</v>
      </c>
      <c r="AW130" s="43">
        <v>45028</v>
      </c>
      <c r="AX130" s="43">
        <v>45291</v>
      </c>
      <c r="AY130" s="125">
        <f>(AX130-AW130)</f>
        <v>263</v>
      </c>
      <c r="AZ130" s="137" t="s">
        <v>1313</v>
      </c>
      <c r="BA130" s="125">
        <v>1123626271</v>
      </c>
      <c r="BB130" s="39"/>
      <c r="BC130" s="39"/>
      <c r="BD130" s="39"/>
      <c r="BE130" s="43"/>
      <c r="BF130" s="39"/>
      <c r="BG130" s="43"/>
      <c r="BH130" s="41"/>
      <c r="BI130" s="39"/>
      <c r="BJ130" s="127">
        <f>SUM(AS130+BB130+BD130+BF130-BH130)</f>
        <v>95973448.730000004</v>
      </c>
      <c r="BK130" s="43"/>
      <c r="BL130" s="39"/>
      <c r="BM130" s="39"/>
      <c r="BN130" s="43"/>
      <c r="BO130" s="39"/>
      <c r="BP130" s="41"/>
      <c r="BQ130" s="43"/>
      <c r="BR130" s="39"/>
      <c r="BS130" s="43"/>
      <c r="BT130" s="39">
        <f>SUM(AY130+BK130+BN130+BQ130)</f>
        <v>263</v>
      </c>
      <c r="BU130" s="39"/>
      <c r="BV130" s="46"/>
    </row>
    <row r="131" spans="1:74" ht="15" customHeight="1" x14ac:dyDescent="0.25">
      <c r="A131" s="123" t="s">
        <v>459</v>
      </c>
      <c r="B131" s="124" t="s">
        <v>460</v>
      </c>
      <c r="C131" s="124" t="s">
        <v>481</v>
      </c>
      <c r="D131" s="39">
        <v>138</v>
      </c>
      <c r="E131" s="39" t="s">
        <v>409</v>
      </c>
      <c r="F131" s="39" t="s">
        <v>1147</v>
      </c>
      <c r="G131" s="44">
        <v>146268</v>
      </c>
      <c r="H131" s="42" t="s">
        <v>769</v>
      </c>
      <c r="I131" s="43">
        <v>44999</v>
      </c>
      <c r="J131" s="39" t="s">
        <v>1120</v>
      </c>
      <c r="K131" s="39" t="s">
        <v>1121</v>
      </c>
      <c r="L131" s="39" t="s">
        <v>61</v>
      </c>
      <c r="M131" s="70" t="s">
        <v>1148</v>
      </c>
      <c r="N131" s="125">
        <v>76111501</v>
      </c>
      <c r="O131" s="135" t="s">
        <v>1138</v>
      </c>
      <c r="P131" s="131">
        <v>95973449</v>
      </c>
      <c r="Q131" s="131">
        <v>95973449</v>
      </c>
      <c r="R131" s="39">
        <v>28623</v>
      </c>
      <c r="S131" s="42" t="s">
        <v>1037</v>
      </c>
      <c r="T131" s="42" t="s">
        <v>448</v>
      </c>
      <c r="U131" s="39"/>
      <c r="V131" s="39"/>
      <c r="W131" s="43"/>
      <c r="X131" s="39"/>
      <c r="Y131" s="39"/>
      <c r="Z131" s="39"/>
      <c r="AA131" s="39"/>
      <c r="AB131" s="39"/>
      <c r="AC131" s="39"/>
      <c r="AD131" s="39"/>
      <c r="AE131" s="39"/>
      <c r="AF131" s="39"/>
      <c r="AG131" s="39"/>
      <c r="AH131" s="39"/>
      <c r="AI131" s="39"/>
      <c r="AJ131" s="39"/>
      <c r="AK131" s="39"/>
      <c r="AL131" s="43"/>
      <c r="AM131" s="41"/>
      <c r="AN131" s="39"/>
      <c r="AO131" s="39"/>
      <c r="AP131" s="39"/>
      <c r="AQ131" s="45"/>
      <c r="AR131" s="39"/>
      <c r="AS131" s="43"/>
      <c r="AT131" s="39"/>
      <c r="AU131" s="43"/>
      <c r="AV131" s="138"/>
      <c r="AW131" s="39"/>
      <c r="AX131" s="39"/>
      <c r="AY131" s="39"/>
      <c r="AZ131" s="139"/>
      <c r="BA131" s="43"/>
      <c r="BB131" s="39"/>
      <c r="BC131" s="39"/>
      <c r="BD131" s="39"/>
      <c r="BE131" s="43"/>
      <c r="BF131" s="39"/>
      <c r="BG131" s="43"/>
      <c r="BH131" s="41"/>
      <c r="BI131" s="39"/>
      <c r="BJ131" s="127">
        <f>SUM(AS131+BB131+BD131+BF131-BH131)</f>
        <v>0</v>
      </c>
      <c r="BK131" s="43"/>
      <c r="BL131" s="39"/>
      <c r="BM131" s="39"/>
      <c r="BN131" s="43"/>
      <c r="BO131" s="39"/>
      <c r="BP131" s="41"/>
      <c r="BQ131" s="43"/>
      <c r="BR131" s="39"/>
      <c r="BS131" s="43"/>
      <c r="BT131" s="39"/>
      <c r="BU131" s="39"/>
      <c r="BV131" s="46"/>
    </row>
    <row r="132" spans="1:74" ht="15" customHeight="1" x14ac:dyDescent="0.25">
      <c r="A132" s="123" t="s">
        <v>459</v>
      </c>
      <c r="B132" s="124" t="s">
        <v>460</v>
      </c>
      <c r="C132" s="124" t="s">
        <v>481</v>
      </c>
      <c r="D132" s="67">
        <v>136</v>
      </c>
      <c r="E132" s="39" t="s">
        <v>409</v>
      </c>
      <c r="F132" s="67" t="s">
        <v>1144</v>
      </c>
      <c r="G132" s="140">
        <v>146540</v>
      </c>
      <c r="H132" s="42" t="s">
        <v>769</v>
      </c>
      <c r="I132" s="43">
        <v>45000</v>
      </c>
      <c r="J132" s="39" t="s">
        <v>1120</v>
      </c>
      <c r="K132" s="39" t="s">
        <v>1121</v>
      </c>
      <c r="L132" s="125" t="s">
        <v>766</v>
      </c>
      <c r="M132" s="70" t="s">
        <v>1271</v>
      </c>
      <c r="N132" s="125">
        <v>76111501</v>
      </c>
      <c r="O132" s="135" t="s">
        <v>1138</v>
      </c>
      <c r="P132" s="141">
        <v>175550532</v>
      </c>
      <c r="Q132" s="141">
        <v>175550532</v>
      </c>
      <c r="R132" s="67">
        <v>28623</v>
      </c>
      <c r="S132" s="70" t="s">
        <v>1037</v>
      </c>
      <c r="T132" s="125" t="s">
        <v>64</v>
      </c>
      <c r="U132" s="125" t="s">
        <v>65</v>
      </c>
      <c r="V132" s="67"/>
      <c r="W132" s="142">
        <v>108010</v>
      </c>
      <c r="X132" s="67" t="s">
        <v>1248</v>
      </c>
      <c r="Y132" s="43">
        <v>45035</v>
      </c>
      <c r="Z132" s="39" t="s">
        <v>1249</v>
      </c>
      <c r="AA132" s="67"/>
      <c r="AB132" s="39" t="s">
        <v>1272</v>
      </c>
      <c r="AC132" s="39" t="s">
        <v>1273</v>
      </c>
      <c r="AD132" s="143" t="s">
        <v>1274</v>
      </c>
      <c r="AE132" s="67">
        <v>901677020</v>
      </c>
      <c r="AF132" s="67">
        <v>1</v>
      </c>
      <c r="AG132" s="39" t="s">
        <v>517</v>
      </c>
      <c r="AH132" s="39"/>
      <c r="AI132" s="67"/>
      <c r="AJ132" s="67"/>
      <c r="AK132" s="67" t="s">
        <v>517</v>
      </c>
      <c r="AL132" s="144" t="s">
        <v>517</v>
      </c>
      <c r="AM132" s="70">
        <v>73323</v>
      </c>
      <c r="AN132" s="43">
        <v>45035</v>
      </c>
      <c r="AO132" s="319">
        <v>169259167.88999999</v>
      </c>
      <c r="AP132" s="67"/>
      <c r="AQ132" s="145"/>
      <c r="AR132" s="67"/>
      <c r="AS132" s="320">
        <f>SUM(AO132+AP132+AQ132+AR132)</f>
        <v>169259167.88999999</v>
      </c>
      <c r="AT132" s="39" t="s">
        <v>297</v>
      </c>
      <c r="AU132" s="43" t="s">
        <v>1275</v>
      </c>
      <c r="AV132" s="136" t="s">
        <v>74</v>
      </c>
      <c r="AW132" s="43">
        <v>45035</v>
      </c>
      <c r="AX132" s="43">
        <v>45291</v>
      </c>
      <c r="AY132" s="146">
        <f>(AX132-AW132)</f>
        <v>256</v>
      </c>
      <c r="AZ132" s="137" t="s">
        <v>1276</v>
      </c>
      <c r="BA132" s="125">
        <v>1124064259</v>
      </c>
      <c r="BB132" s="67"/>
      <c r="BC132" s="67"/>
      <c r="BD132" s="67"/>
      <c r="BE132" s="144"/>
      <c r="BF132" s="67"/>
      <c r="BG132" s="144"/>
      <c r="BH132" s="139"/>
      <c r="BI132" s="67"/>
      <c r="BJ132" s="147">
        <f>SUM(AS132+BB132+BD132+BF132-BH132)</f>
        <v>169259167.88999999</v>
      </c>
      <c r="BK132" s="144"/>
      <c r="BL132" s="67"/>
      <c r="BM132" s="67"/>
      <c r="BN132" s="144"/>
      <c r="BO132" s="67"/>
      <c r="BP132" s="139"/>
      <c r="BQ132" s="144"/>
      <c r="BR132" s="67"/>
      <c r="BS132" s="144"/>
      <c r="BT132" s="67">
        <f>SUM(AY132+BK132+BN132+BQ132)</f>
        <v>256</v>
      </c>
      <c r="BU132" s="67"/>
      <c r="BV132" s="148"/>
    </row>
    <row r="133" spans="1:74" ht="15" customHeight="1" x14ac:dyDescent="0.25">
      <c r="A133" s="123" t="s">
        <v>459</v>
      </c>
      <c r="B133" s="124" t="s">
        <v>460</v>
      </c>
      <c r="C133" s="124" t="s">
        <v>481</v>
      </c>
      <c r="D133" s="67">
        <v>143</v>
      </c>
      <c r="E133" s="39" t="s">
        <v>409</v>
      </c>
      <c r="F133" s="67" t="s">
        <v>1150</v>
      </c>
      <c r="G133" s="140">
        <v>146573</v>
      </c>
      <c r="H133" s="42" t="s">
        <v>769</v>
      </c>
      <c r="I133" s="43">
        <v>45000</v>
      </c>
      <c r="J133" s="39" t="s">
        <v>1120</v>
      </c>
      <c r="K133" s="39" t="s">
        <v>1121</v>
      </c>
      <c r="L133" s="125" t="s">
        <v>766</v>
      </c>
      <c r="M133" s="70" t="s">
        <v>1325</v>
      </c>
      <c r="N133" s="125">
        <v>76111501</v>
      </c>
      <c r="O133" s="135" t="s">
        <v>1138</v>
      </c>
      <c r="P133" s="141">
        <v>15332899</v>
      </c>
      <c r="Q133" s="141">
        <v>15332899</v>
      </c>
      <c r="R133" s="67">
        <v>28623</v>
      </c>
      <c r="S133" s="70" t="s">
        <v>1037</v>
      </c>
      <c r="T133" s="125" t="s">
        <v>64</v>
      </c>
      <c r="U133" s="125" t="s">
        <v>65</v>
      </c>
      <c r="V133" s="146"/>
      <c r="W133" s="142" t="s">
        <v>1326</v>
      </c>
      <c r="X133" s="67" t="s">
        <v>1248</v>
      </c>
      <c r="Y133" s="43">
        <v>45027</v>
      </c>
      <c r="Z133" s="39" t="s">
        <v>1249</v>
      </c>
      <c r="AA133" s="67"/>
      <c r="AB133" s="39" t="s">
        <v>1327</v>
      </c>
      <c r="AC133" s="39"/>
      <c r="AD133" s="143" t="s">
        <v>1312</v>
      </c>
      <c r="AE133" s="67">
        <v>900427788</v>
      </c>
      <c r="AF133" s="67">
        <v>3</v>
      </c>
      <c r="AG133" s="39" t="s">
        <v>517</v>
      </c>
      <c r="AH133" s="39"/>
      <c r="AI133" s="67"/>
      <c r="AJ133" s="67"/>
      <c r="AK133" s="67" t="s">
        <v>517</v>
      </c>
      <c r="AL133" s="144" t="s">
        <v>517</v>
      </c>
      <c r="AM133" s="70">
        <v>68723</v>
      </c>
      <c r="AN133" s="43">
        <v>45027</v>
      </c>
      <c r="AO133" s="319">
        <v>15332898.6</v>
      </c>
      <c r="AP133" s="67"/>
      <c r="AQ133" s="145"/>
      <c r="AR133" s="67"/>
      <c r="AS133" s="320">
        <f>SUM(AO133+AP133+AQ133+AR133)</f>
        <v>15332898.6</v>
      </c>
      <c r="AT133" s="39" t="s">
        <v>297</v>
      </c>
      <c r="AU133" s="43">
        <v>45035</v>
      </c>
      <c r="AV133" s="136" t="s">
        <v>74</v>
      </c>
      <c r="AW133" s="43">
        <v>45027</v>
      </c>
      <c r="AX133" s="43">
        <v>45291</v>
      </c>
      <c r="AY133" s="146">
        <f>(AX133-AW133)</f>
        <v>264</v>
      </c>
      <c r="AZ133" s="137" t="s">
        <v>1328</v>
      </c>
      <c r="BA133" s="125">
        <v>1006453902</v>
      </c>
      <c r="BB133" s="67"/>
      <c r="BC133" s="67"/>
      <c r="BD133" s="67"/>
      <c r="BE133" s="144"/>
      <c r="BF133" s="67"/>
      <c r="BG133" s="144"/>
      <c r="BH133" s="139"/>
      <c r="BI133" s="67"/>
      <c r="BJ133" s="147">
        <f>SUM(AS133+BB133+BD133+BF133-BH133)</f>
        <v>15332898.6</v>
      </c>
      <c r="BK133" s="144"/>
      <c r="BL133" s="67"/>
      <c r="BM133" s="67"/>
      <c r="BN133" s="144"/>
      <c r="BO133" s="67"/>
      <c r="BP133" s="139"/>
      <c r="BQ133" s="144"/>
      <c r="BR133" s="67"/>
      <c r="BS133" s="144"/>
      <c r="BT133" s="67">
        <f>SUM(AY133+BK133+BN133+BQ133)</f>
        <v>264</v>
      </c>
      <c r="BU133" s="67"/>
      <c r="BV133" s="148"/>
    </row>
    <row r="134" spans="1:74" ht="15" customHeight="1" x14ac:dyDescent="0.25">
      <c r="A134" s="36" t="s">
        <v>459</v>
      </c>
      <c r="B134" s="37" t="s">
        <v>460</v>
      </c>
      <c r="C134" s="38" t="s">
        <v>54</v>
      </c>
      <c r="D134" s="70">
        <v>117</v>
      </c>
      <c r="E134" s="39" t="s">
        <v>344</v>
      </c>
      <c r="F134" s="70" t="s">
        <v>1053</v>
      </c>
      <c r="G134" s="89" t="s">
        <v>1054</v>
      </c>
      <c r="H134" s="42" t="s">
        <v>769</v>
      </c>
      <c r="I134" s="68">
        <v>45001</v>
      </c>
      <c r="J134" s="39" t="s">
        <v>59</v>
      </c>
      <c r="K134" s="39" t="s">
        <v>60</v>
      </c>
      <c r="L134" s="42" t="s">
        <v>188</v>
      </c>
      <c r="M134" s="67" t="s">
        <v>1055</v>
      </c>
      <c r="N134" s="42">
        <v>80161504</v>
      </c>
      <c r="O134" s="50" t="s">
        <v>1056</v>
      </c>
      <c r="P134" s="87">
        <v>95000000</v>
      </c>
      <c r="Q134" s="87">
        <v>95000000</v>
      </c>
      <c r="R134" s="70">
        <v>27923</v>
      </c>
      <c r="S134" s="70" t="s">
        <v>89</v>
      </c>
      <c r="T134" s="42" t="s">
        <v>64</v>
      </c>
      <c r="U134" s="70" t="s">
        <v>65</v>
      </c>
      <c r="V134" s="70"/>
      <c r="W134" s="89" t="s">
        <v>1057</v>
      </c>
      <c r="X134" s="70" t="s">
        <v>994</v>
      </c>
      <c r="Y134" s="144">
        <v>45002</v>
      </c>
      <c r="Z134" s="39" t="s">
        <v>67</v>
      </c>
      <c r="AA134" s="70"/>
      <c r="AB134" s="39" t="s">
        <v>68</v>
      </c>
      <c r="AC134" s="39" t="s">
        <v>69</v>
      </c>
      <c r="AD134" s="70" t="s">
        <v>1058</v>
      </c>
      <c r="AE134" s="70">
        <v>19411933</v>
      </c>
      <c r="AF134" s="70"/>
      <c r="AG134" s="39" t="s">
        <v>517</v>
      </c>
      <c r="AH134" s="39" t="s">
        <v>551</v>
      </c>
      <c r="AI134" s="67"/>
      <c r="AJ134" s="67"/>
      <c r="AK134" s="70"/>
      <c r="AL134" s="88" t="e">
        <f ca="1">+YEAR(TODAY())-YEAR([7]!Tabla1[[#This Row],[FECHA DE NACIMIENTO]])</f>
        <v>#REF!</v>
      </c>
      <c r="AM134" s="70">
        <v>57523</v>
      </c>
      <c r="AN134" s="43">
        <v>45002</v>
      </c>
      <c r="AO134" s="87">
        <v>95000000</v>
      </c>
      <c r="AP134" s="70"/>
      <c r="AQ134" s="149"/>
      <c r="AR134" s="70"/>
      <c r="AS134" s="149">
        <v>95000000</v>
      </c>
      <c r="AT134" s="39" t="s">
        <v>297</v>
      </c>
      <c r="AU134" s="144">
        <v>45002</v>
      </c>
      <c r="AV134" s="67" t="s">
        <v>74</v>
      </c>
      <c r="AW134" s="144">
        <v>45006</v>
      </c>
      <c r="AX134" s="144">
        <v>45291</v>
      </c>
      <c r="AY134" s="70">
        <v>285</v>
      </c>
      <c r="AZ134" s="87" t="s">
        <v>192</v>
      </c>
      <c r="BA134" s="42">
        <v>79321317</v>
      </c>
      <c r="BB134" s="87"/>
      <c r="BC134" s="89"/>
      <c r="BD134" s="70"/>
      <c r="BE134" s="89"/>
      <c r="BF134" s="70"/>
      <c r="BG134" s="89"/>
      <c r="BH134" s="87"/>
      <c r="BI134" s="89"/>
      <c r="BJ134" s="87">
        <v>95000000</v>
      </c>
      <c r="BK134" s="89"/>
      <c r="BL134" s="89"/>
      <c r="BM134" s="89"/>
      <c r="BN134" s="89"/>
      <c r="BO134" s="70"/>
      <c r="BP134" s="89"/>
      <c r="BQ134" s="89"/>
      <c r="BR134" s="87"/>
      <c r="BS134" s="89"/>
      <c r="BT134" s="70">
        <v>285</v>
      </c>
      <c r="BU134" s="89"/>
      <c r="BV134" s="91"/>
    </row>
    <row r="135" spans="1:74" ht="15" customHeight="1" x14ac:dyDescent="0.25">
      <c r="A135" s="36" t="s">
        <v>459</v>
      </c>
      <c r="B135" s="37" t="s">
        <v>460</v>
      </c>
      <c r="C135" s="38" t="s">
        <v>54</v>
      </c>
      <c r="D135" s="70">
        <v>145</v>
      </c>
      <c r="E135" s="42" t="s">
        <v>345</v>
      </c>
      <c r="F135" s="70" t="s">
        <v>941</v>
      </c>
      <c r="G135" s="89" t="s">
        <v>942</v>
      </c>
      <c r="H135" s="42" t="s">
        <v>769</v>
      </c>
      <c r="I135" s="71">
        <v>45002</v>
      </c>
      <c r="J135" s="70" t="s">
        <v>59</v>
      </c>
      <c r="K135" s="70" t="s">
        <v>943</v>
      </c>
      <c r="L135" s="42" t="s">
        <v>291</v>
      </c>
      <c r="M135" s="70" t="s">
        <v>944</v>
      </c>
      <c r="N135" s="70">
        <v>78102203</v>
      </c>
      <c r="O135" s="87" t="s">
        <v>945</v>
      </c>
      <c r="P135" s="87">
        <v>351000000</v>
      </c>
      <c r="Q135" s="87">
        <v>351000000</v>
      </c>
      <c r="R135" s="70">
        <v>27823</v>
      </c>
      <c r="S135" s="70" t="s">
        <v>946</v>
      </c>
      <c r="T135" s="42" t="s">
        <v>64</v>
      </c>
      <c r="U135" s="70" t="s">
        <v>65</v>
      </c>
      <c r="V135" s="70" t="s">
        <v>517</v>
      </c>
      <c r="W135" s="89" t="s">
        <v>947</v>
      </c>
      <c r="X135" s="67" t="s">
        <v>769</v>
      </c>
      <c r="Y135" s="55">
        <v>45016</v>
      </c>
      <c r="Z135" s="70" t="s">
        <v>948</v>
      </c>
      <c r="AA135" s="70"/>
      <c r="AB135" s="42" t="s">
        <v>295</v>
      </c>
      <c r="AC135" s="42" t="s">
        <v>69</v>
      </c>
      <c r="AD135" s="70" t="s">
        <v>949</v>
      </c>
      <c r="AE135" s="70">
        <v>900062917</v>
      </c>
      <c r="AF135" s="70">
        <v>9</v>
      </c>
      <c r="AG135" s="42" t="s">
        <v>517</v>
      </c>
      <c r="AH135" s="42"/>
      <c r="AI135" s="67" t="s">
        <v>950</v>
      </c>
      <c r="AJ135" s="67"/>
      <c r="AK135" s="70" t="s">
        <v>517</v>
      </c>
      <c r="AL135" s="88" t="e">
        <f ca="1">+YEAR(TODAY())-YEAR([8]!Tabla1[[#This Row],[FECHA DE NACIMIENTO]])</f>
        <v>#REF!</v>
      </c>
      <c r="AM135" s="67">
        <v>64723</v>
      </c>
      <c r="AN135" s="55">
        <v>45019</v>
      </c>
      <c r="AO135" s="87">
        <v>351000000</v>
      </c>
      <c r="AP135" s="70"/>
      <c r="AQ135" s="149"/>
      <c r="AR135" s="70"/>
      <c r="AS135" s="149">
        <v>351000000</v>
      </c>
      <c r="AT135" s="42" t="s">
        <v>478</v>
      </c>
      <c r="AU135" s="55" t="s">
        <v>517</v>
      </c>
      <c r="AV135" s="150" t="s">
        <v>517</v>
      </c>
      <c r="AW135" s="55">
        <v>45019</v>
      </c>
      <c r="AX135" s="55">
        <v>45291</v>
      </c>
      <c r="AY135" s="67">
        <f>(AX135-AW135)</f>
        <v>272</v>
      </c>
      <c r="AZ135" s="87" t="s">
        <v>951</v>
      </c>
      <c r="BA135" s="67">
        <v>36551065</v>
      </c>
      <c r="BB135" s="87"/>
      <c r="BC135" s="89"/>
      <c r="BD135" s="70"/>
      <c r="BE135" s="89"/>
      <c r="BF135" s="70"/>
      <c r="BG135" s="89"/>
      <c r="BH135" s="87"/>
      <c r="BI135" s="89"/>
      <c r="BJ135" s="139" t="e">
        <f>([8]!Tabla1[[#This Row],[VALOR TOTAL CONTRATO + VF]]+[8]!Tabla1[[#This Row],[ADICION 1 ]]+[8]!Tabla1[[#This Row],[ADICION 2]]-[8]!Tabla1[[#This Row],[LIBERACION]])</f>
        <v>#REF!</v>
      </c>
      <c r="BK135" s="89"/>
      <c r="BL135" s="89"/>
      <c r="BM135" s="89"/>
      <c r="BN135" s="89"/>
      <c r="BO135" s="70"/>
      <c r="BP135" s="89"/>
      <c r="BQ135" s="89"/>
      <c r="BR135" s="87"/>
      <c r="BS135" s="89"/>
      <c r="BT135" s="70">
        <f>SUM(AY135+BK135+BN135+BQ135)</f>
        <v>272</v>
      </c>
      <c r="BU135" s="89"/>
      <c r="BV135" s="91"/>
    </row>
    <row r="136" spans="1:74" s="3" customFormat="1" ht="15" customHeight="1" x14ac:dyDescent="0.25">
      <c r="A136" s="14" t="s">
        <v>459</v>
      </c>
      <c r="B136" s="4" t="s">
        <v>460</v>
      </c>
      <c r="C136" s="7" t="s">
        <v>54</v>
      </c>
      <c r="D136" s="199">
        <v>61</v>
      </c>
      <c r="E136" s="3" t="s">
        <v>344</v>
      </c>
      <c r="F136" s="199" t="s">
        <v>1059</v>
      </c>
      <c r="G136" s="200" t="s">
        <v>1060</v>
      </c>
      <c r="H136" s="199" t="s">
        <v>994</v>
      </c>
      <c r="I136" s="23">
        <v>45002</v>
      </c>
      <c r="J136" s="3" t="s">
        <v>59</v>
      </c>
      <c r="K136" s="3" t="s">
        <v>60</v>
      </c>
      <c r="L136" s="3" t="s">
        <v>225</v>
      </c>
      <c r="M136" s="13" t="s">
        <v>1061</v>
      </c>
      <c r="N136" s="201" t="s">
        <v>1062</v>
      </c>
      <c r="O136" s="201" t="s">
        <v>1063</v>
      </c>
      <c r="P136" s="201">
        <v>76000000</v>
      </c>
      <c r="Q136" s="201">
        <v>76000000</v>
      </c>
      <c r="R136" s="199">
        <v>27623</v>
      </c>
      <c r="S136" s="199" t="s">
        <v>89</v>
      </c>
      <c r="T136" s="1" t="s">
        <v>64</v>
      </c>
      <c r="U136" s="199" t="s">
        <v>65</v>
      </c>
      <c r="V136" s="199"/>
      <c r="W136" s="200" t="s">
        <v>1064</v>
      </c>
      <c r="X136" s="199" t="s">
        <v>994</v>
      </c>
      <c r="Y136" s="9">
        <v>45007</v>
      </c>
      <c r="Z136" s="3" t="s">
        <v>67</v>
      </c>
      <c r="AA136" s="199"/>
      <c r="AB136" s="3" t="s">
        <v>68</v>
      </c>
      <c r="AC136" s="3" t="s">
        <v>69</v>
      </c>
      <c r="AD136" s="199" t="s">
        <v>1065</v>
      </c>
      <c r="AE136" s="199">
        <v>86062223</v>
      </c>
      <c r="AF136" s="199"/>
      <c r="AG136" s="3" t="s">
        <v>517</v>
      </c>
      <c r="AH136" s="3" t="s">
        <v>551</v>
      </c>
      <c r="AI136" s="13"/>
      <c r="AJ136" s="13"/>
      <c r="AK136" s="199"/>
      <c r="AL136" s="321" t="e">
        <f ca="1">+YEAR(TODAY())-YEAR([9]!Tabla1[[#This Row],[FECHA DE NACIMIENTO]])</f>
        <v>#REF!</v>
      </c>
      <c r="AM136" s="199">
        <v>59723</v>
      </c>
      <c r="AN136" s="9">
        <v>45008</v>
      </c>
      <c r="AO136" s="201">
        <v>76000000</v>
      </c>
      <c r="AP136" s="199"/>
      <c r="AQ136" s="322"/>
      <c r="AR136" s="199"/>
      <c r="AS136" s="322">
        <v>76000000</v>
      </c>
      <c r="AT136" s="3" t="s">
        <v>297</v>
      </c>
      <c r="AU136" s="9">
        <v>45007</v>
      </c>
      <c r="AV136" s="12" t="s">
        <v>74</v>
      </c>
      <c r="AW136" s="9">
        <v>45008</v>
      </c>
      <c r="AX136" s="9">
        <v>45291</v>
      </c>
      <c r="AY136" s="7">
        <f t="shared" ref="AY136" si="16">(AX136-AW136)</f>
        <v>283</v>
      </c>
      <c r="AZ136" s="3" t="s">
        <v>92</v>
      </c>
      <c r="BA136" s="3">
        <v>19498970</v>
      </c>
      <c r="BB136" s="201"/>
      <c r="BC136" s="200"/>
      <c r="BD136" s="199"/>
      <c r="BE136" s="200"/>
      <c r="BF136" s="199"/>
      <c r="BG136" s="200"/>
      <c r="BH136" s="201"/>
      <c r="BI136" s="200"/>
      <c r="BJ136" s="201">
        <v>76000000</v>
      </c>
      <c r="BK136" s="200"/>
      <c r="BL136" s="200"/>
      <c r="BM136" s="200"/>
      <c r="BN136" s="200"/>
      <c r="BO136" s="199"/>
      <c r="BP136" s="200"/>
      <c r="BQ136" s="200"/>
      <c r="BR136" s="201"/>
      <c r="BS136" s="200"/>
      <c r="BT136" s="199">
        <v>289</v>
      </c>
      <c r="BU136" s="200"/>
      <c r="BV136" s="323"/>
    </row>
    <row r="137" spans="1:74" ht="15" customHeight="1" x14ac:dyDescent="0.25">
      <c r="A137" s="36" t="s">
        <v>459</v>
      </c>
      <c r="B137" s="37" t="s">
        <v>460</v>
      </c>
      <c r="C137" s="38" t="s">
        <v>481</v>
      </c>
      <c r="D137" s="70">
        <v>122</v>
      </c>
      <c r="E137" s="39" t="s">
        <v>344</v>
      </c>
      <c r="F137" s="70" t="s">
        <v>1066</v>
      </c>
      <c r="G137" s="70">
        <v>180076</v>
      </c>
      <c r="H137" s="42" t="s">
        <v>769</v>
      </c>
      <c r="I137" s="68">
        <v>45002</v>
      </c>
      <c r="J137" s="39" t="s">
        <v>651</v>
      </c>
      <c r="K137" s="42" t="s">
        <v>1067</v>
      </c>
      <c r="L137" s="67" t="s">
        <v>61</v>
      </c>
      <c r="M137" s="67" t="s">
        <v>1068</v>
      </c>
      <c r="N137" s="87" t="s">
        <v>1069</v>
      </c>
      <c r="O137" s="67" t="s">
        <v>1070</v>
      </c>
      <c r="P137" s="87">
        <v>45000000</v>
      </c>
      <c r="Q137" s="87">
        <v>44999707</v>
      </c>
      <c r="R137" s="70">
        <v>30123</v>
      </c>
      <c r="S137" s="67" t="s">
        <v>1071</v>
      </c>
      <c r="T137" s="42" t="s">
        <v>64</v>
      </c>
      <c r="U137" s="70" t="s">
        <v>65</v>
      </c>
      <c r="V137" s="70"/>
      <c r="W137" s="89" t="s">
        <v>1072</v>
      </c>
      <c r="X137" s="70" t="s">
        <v>994</v>
      </c>
      <c r="Y137" s="43">
        <v>45006</v>
      </c>
      <c r="Z137" s="39" t="s">
        <v>658</v>
      </c>
      <c r="AA137" s="70"/>
      <c r="AB137" s="39" t="s">
        <v>68</v>
      </c>
      <c r="AC137" s="39" t="s">
        <v>69</v>
      </c>
      <c r="AD137" s="67" t="s">
        <v>659</v>
      </c>
      <c r="AE137" s="67">
        <v>900155107</v>
      </c>
      <c r="AF137" s="70"/>
      <c r="AG137" s="39" t="s">
        <v>517</v>
      </c>
      <c r="AH137" s="39" t="s">
        <v>551</v>
      </c>
      <c r="AI137" s="67"/>
      <c r="AJ137" s="67"/>
      <c r="AK137" s="70"/>
      <c r="AL137" s="88" t="e">
        <f ca="1">+YEAR(TODAY())-YEAR([7]!Tabla1[[#This Row],[FECHA DE NACIMIENTO]])</f>
        <v>#REF!</v>
      </c>
      <c r="AM137" s="70">
        <v>60823</v>
      </c>
      <c r="AN137" s="43">
        <v>45009</v>
      </c>
      <c r="AO137" s="87">
        <v>4335800</v>
      </c>
      <c r="AP137" s="70"/>
      <c r="AQ137" s="149"/>
      <c r="AR137" s="70"/>
      <c r="AS137" s="87">
        <v>4335800</v>
      </c>
      <c r="AT137" s="42" t="s">
        <v>1073</v>
      </c>
      <c r="AU137" s="55" t="s">
        <v>517</v>
      </c>
      <c r="AV137" s="150" t="s">
        <v>517</v>
      </c>
      <c r="AW137" s="43">
        <v>45006</v>
      </c>
      <c r="AX137" s="43">
        <v>45094</v>
      </c>
      <c r="AY137" s="70">
        <v>88</v>
      </c>
      <c r="AZ137" s="87" t="s">
        <v>1074</v>
      </c>
      <c r="BA137" s="70">
        <v>40029680</v>
      </c>
      <c r="BB137" s="87"/>
      <c r="BC137" s="89"/>
      <c r="BD137" s="70"/>
      <c r="BE137" s="89"/>
      <c r="BF137" s="70"/>
      <c r="BG137" s="89"/>
      <c r="BH137" s="87"/>
      <c r="BI137" s="89"/>
      <c r="BJ137" s="87">
        <v>4335800</v>
      </c>
      <c r="BK137" s="89"/>
      <c r="BL137" s="89"/>
      <c r="BM137" s="89"/>
      <c r="BN137" s="89"/>
      <c r="BO137" s="70"/>
      <c r="BP137" s="89"/>
      <c r="BQ137" s="89"/>
      <c r="BR137" s="87"/>
      <c r="BS137" s="89"/>
      <c r="BT137" s="70">
        <v>88</v>
      </c>
      <c r="BU137" s="89"/>
      <c r="BV137" s="91"/>
    </row>
    <row r="138" spans="1:74" ht="15" customHeight="1" x14ac:dyDescent="0.25">
      <c r="A138" s="36" t="s">
        <v>459</v>
      </c>
      <c r="B138" s="37" t="s">
        <v>460</v>
      </c>
      <c r="C138" s="38" t="s">
        <v>481</v>
      </c>
      <c r="D138" s="70">
        <v>122</v>
      </c>
      <c r="E138" s="39" t="s">
        <v>344</v>
      </c>
      <c r="F138" s="70" t="s">
        <v>1075</v>
      </c>
      <c r="G138" s="70">
        <v>182971</v>
      </c>
      <c r="H138" s="42" t="s">
        <v>769</v>
      </c>
      <c r="I138" s="68">
        <v>45002</v>
      </c>
      <c r="J138" s="39" t="s">
        <v>651</v>
      </c>
      <c r="K138" s="42" t="s">
        <v>1067</v>
      </c>
      <c r="L138" s="39" t="s">
        <v>61</v>
      </c>
      <c r="M138" s="67" t="s">
        <v>1068</v>
      </c>
      <c r="N138" s="87" t="s">
        <v>1069</v>
      </c>
      <c r="O138" s="67" t="s">
        <v>1070</v>
      </c>
      <c r="P138" s="87">
        <v>45000000</v>
      </c>
      <c r="Q138" s="87">
        <v>44999707</v>
      </c>
      <c r="R138" s="70">
        <v>30123</v>
      </c>
      <c r="S138" s="67" t="s">
        <v>1071</v>
      </c>
      <c r="T138" s="42" t="s">
        <v>64</v>
      </c>
      <c r="U138" s="70" t="s">
        <v>65</v>
      </c>
      <c r="V138" s="70"/>
      <c r="W138" s="89" t="s">
        <v>1076</v>
      </c>
      <c r="X138" s="70" t="s">
        <v>994</v>
      </c>
      <c r="Y138" s="43">
        <v>45006</v>
      </c>
      <c r="Z138" s="39" t="s">
        <v>658</v>
      </c>
      <c r="AA138" s="70"/>
      <c r="AB138" s="39" t="s">
        <v>68</v>
      </c>
      <c r="AC138" s="39" t="s">
        <v>69</v>
      </c>
      <c r="AD138" s="70" t="s">
        <v>1077</v>
      </c>
      <c r="AE138" s="70" t="s">
        <v>1078</v>
      </c>
      <c r="AF138" s="70"/>
      <c r="AG138" s="39" t="s">
        <v>517</v>
      </c>
      <c r="AH138" s="39" t="s">
        <v>551</v>
      </c>
      <c r="AI138" s="67"/>
      <c r="AJ138" s="67"/>
      <c r="AK138" s="70"/>
      <c r="AL138" s="88" t="e">
        <f ca="1">+YEAR(TODAY())-YEAR([7]!Tabla1[[#This Row],[FECHA DE NACIMIENTO]])</f>
        <v>#REF!</v>
      </c>
      <c r="AM138" s="70">
        <v>60923</v>
      </c>
      <c r="AN138" s="43">
        <v>45009</v>
      </c>
      <c r="AO138" s="87">
        <v>6936000</v>
      </c>
      <c r="AP138" s="70"/>
      <c r="AQ138" s="149"/>
      <c r="AR138" s="70"/>
      <c r="AS138" s="87">
        <v>6936000</v>
      </c>
      <c r="AT138" s="42" t="s">
        <v>1073</v>
      </c>
      <c r="AU138" s="55" t="s">
        <v>517</v>
      </c>
      <c r="AV138" s="150" t="s">
        <v>517</v>
      </c>
      <c r="AW138" s="43">
        <v>45006</v>
      </c>
      <c r="AX138" s="43">
        <v>45094</v>
      </c>
      <c r="AY138" s="70">
        <v>88</v>
      </c>
      <c r="AZ138" s="50" t="s">
        <v>1074</v>
      </c>
      <c r="BA138" s="42">
        <v>40029680</v>
      </c>
      <c r="BB138" s="87"/>
      <c r="BC138" s="89"/>
      <c r="BD138" s="70"/>
      <c r="BE138" s="89"/>
      <c r="BF138" s="70"/>
      <c r="BG138" s="89"/>
      <c r="BH138" s="87"/>
      <c r="BI138" s="89"/>
      <c r="BJ138" s="87">
        <v>6936000</v>
      </c>
      <c r="BK138" s="89"/>
      <c r="BL138" s="89"/>
      <c r="BM138" s="89"/>
      <c r="BN138" s="89"/>
      <c r="BO138" s="70"/>
      <c r="BP138" s="89"/>
      <c r="BQ138" s="89"/>
      <c r="BR138" s="87"/>
      <c r="BS138" s="89"/>
      <c r="BT138" s="70">
        <v>88</v>
      </c>
      <c r="BU138" s="89"/>
      <c r="BV138" s="91"/>
    </row>
    <row r="139" spans="1:74" ht="15" customHeight="1" x14ac:dyDescent="0.25">
      <c r="A139" s="123" t="s">
        <v>459</v>
      </c>
      <c r="B139" s="124" t="s">
        <v>460</v>
      </c>
      <c r="C139" s="124" t="s">
        <v>481</v>
      </c>
      <c r="D139" s="67">
        <v>140</v>
      </c>
      <c r="E139" s="39" t="s">
        <v>409</v>
      </c>
      <c r="F139" s="67" t="s">
        <v>1149</v>
      </c>
      <c r="G139" s="140">
        <v>146696</v>
      </c>
      <c r="H139" s="42" t="s">
        <v>1155</v>
      </c>
      <c r="I139" s="43">
        <v>45027</v>
      </c>
      <c r="J139" s="39" t="s">
        <v>1120</v>
      </c>
      <c r="K139" s="67" t="s">
        <v>1121</v>
      </c>
      <c r="L139" s="125" t="s">
        <v>766</v>
      </c>
      <c r="M139" s="70" t="s">
        <v>1319</v>
      </c>
      <c r="N139" s="146">
        <v>76111501</v>
      </c>
      <c r="O139" s="324" t="s">
        <v>1138</v>
      </c>
      <c r="P139" s="141">
        <v>31710054</v>
      </c>
      <c r="Q139" s="141">
        <v>31710054</v>
      </c>
      <c r="R139" s="67">
        <v>28623</v>
      </c>
      <c r="S139" s="70" t="s">
        <v>1037</v>
      </c>
      <c r="T139" s="125" t="s">
        <v>64</v>
      </c>
      <c r="U139" s="146" t="s">
        <v>65</v>
      </c>
      <c r="V139" s="67"/>
      <c r="W139" s="142" t="s">
        <v>1320</v>
      </c>
      <c r="X139" s="67" t="s">
        <v>1248</v>
      </c>
      <c r="Y139" s="43">
        <v>45027</v>
      </c>
      <c r="Z139" s="39" t="s">
        <v>1249</v>
      </c>
      <c r="AA139" s="67"/>
      <c r="AB139" s="39" t="s">
        <v>1321</v>
      </c>
      <c r="AC139" s="39"/>
      <c r="AD139" s="132" t="s">
        <v>1312</v>
      </c>
      <c r="AE139" s="39">
        <v>900427788</v>
      </c>
      <c r="AF139" s="67">
        <v>3</v>
      </c>
      <c r="AG139" s="39" t="s">
        <v>517</v>
      </c>
      <c r="AH139" s="39"/>
      <c r="AI139" s="67"/>
      <c r="AJ139" s="67"/>
      <c r="AK139" s="67" t="s">
        <v>517</v>
      </c>
      <c r="AL139" s="144" t="s">
        <v>517</v>
      </c>
      <c r="AM139" s="70">
        <v>68823</v>
      </c>
      <c r="AN139" s="43">
        <v>45027</v>
      </c>
      <c r="AO139" s="319">
        <v>31710054.149999999</v>
      </c>
      <c r="AP139" s="67"/>
      <c r="AQ139" s="145"/>
      <c r="AR139" s="67"/>
      <c r="AS139" s="320">
        <f>SUM(AO139+AP139+AQ139+AR139)</f>
        <v>31710054.149999999</v>
      </c>
      <c r="AT139" s="67" t="s">
        <v>297</v>
      </c>
      <c r="AU139" s="144">
        <v>45020</v>
      </c>
      <c r="AV139" s="146" t="s">
        <v>74</v>
      </c>
      <c r="AW139" s="43">
        <v>45027</v>
      </c>
      <c r="AX139" s="43">
        <v>45291</v>
      </c>
      <c r="AY139" s="146">
        <f>(AX139-AW139)</f>
        <v>264</v>
      </c>
      <c r="AZ139" s="137" t="s">
        <v>1282</v>
      </c>
      <c r="BA139" s="146">
        <v>67026330</v>
      </c>
      <c r="BB139" s="67"/>
      <c r="BC139" s="67"/>
      <c r="BD139" s="67"/>
      <c r="BE139" s="144"/>
      <c r="BF139" s="67"/>
      <c r="BG139" s="144"/>
      <c r="BH139" s="139"/>
      <c r="BI139" s="67"/>
      <c r="BJ139" s="147">
        <f>SUM(AS139+BB139+BD139+BF139-BH139)</f>
        <v>31710054.149999999</v>
      </c>
      <c r="BK139" s="144"/>
      <c r="BL139" s="67"/>
      <c r="BM139" s="67"/>
      <c r="BN139" s="144"/>
      <c r="BO139" s="67"/>
      <c r="BP139" s="139"/>
      <c r="BQ139" s="144"/>
      <c r="BR139" s="67"/>
      <c r="BS139" s="144"/>
      <c r="BT139" s="67">
        <f>SUM(AY139+BK139+BN139+BQ139)</f>
        <v>264</v>
      </c>
      <c r="BU139" s="67"/>
      <c r="BV139" s="148"/>
    </row>
    <row r="140" spans="1:74" ht="15" customHeight="1" x14ac:dyDescent="0.25">
      <c r="A140" s="36" t="s">
        <v>459</v>
      </c>
      <c r="B140" s="37" t="s">
        <v>460</v>
      </c>
      <c r="C140" s="38" t="s">
        <v>54</v>
      </c>
      <c r="D140" s="70">
        <v>279</v>
      </c>
      <c r="E140" s="39" t="s">
        <v>344</v>
      </c>
      <c r="F140" s="42" t="s">
        <v>1043</v>
      </c>
      <c r="G140" s="89" t="s">
        <v>1044</v>
      </c>
      <c r="H140" s="42" t="s">
        <v>769</v>
      </c>
      <c r="I140" s="68">
        <v>45006</v>
      </c>
      <c r="J140" s="42" t="s">
        <v>1032</v>
      </c>
      <c r="K140" s="70" t="s">
        <v>1045</v>
      </c>
      <c r="L140" s="39" t="s">
        <v>766</v>
      </c>
      <c r="M140" s="67" t="s">
        <v>1046</v>
      </c>
      <c r="N140" s="87" t="s">
        <v>1035</v>
      </c>
      <c r="O140" s="87" t="s">
        <v>1036</v>
      </c>
      <c r="P140" s="87">
        <v>52000000</v>
      </c>
      <c r="Q140" s="87">
        <v>52000000</v>
      </c>
      <c r="R140" s="70">
        <v>24423</v>
      </c>
      <c r="S140" s="70" t="s">
        <v>1037</v>
      </c>
      <c r="T140" s="42" t="s">
        <v>64</v>
      </c>
      <c r="U140" s="70" t="s">
        <v>65</v>
      </c>
      <c r="V140" s="42"/>
      <c r="W140" s="55" t="s">
        <v>1047</v>
      </c>
      <c r="X140" s="70" t="s">
        <v>994</v>
      </c>
      <c r="Y140" s="43">
        <v>45007</v>
      </c>
      <c r="Z140" s="42" t="s">
        <v>1039</v>
      </c>
      <c r="AA140" s="42"/>
      <c r="AB140" s="42" t="s">
        <v>1048</v>
      </c>
      <c r="AC140" s="42" t="s">
        <v>1049</v>
      </c>
      <c r="AD140" s="42" t="s">
        <v>1050</v>
      </c>
      <c r="AE140" s="42" t="s">
        <v>1051</v>
      </c>
      <c r="AF140" s="42"/>
      <c r="AG140" s="39" t="s">
        <v>517</v>
      </c>
      <c r="AH140" s="39" t="s">
        <v>551</v>
      </c>
      <c r="AI140" s="39"/>
      <c r="AJ140" s="39"/>
      <c r="AK140" s="42"/>
      <c r="AL140" s="52" t="e">
        <f ca="1">+YEAR(TODAY())-YEAR([7]!Tabla1[[#This Row],[FECHA DE NACIMIENTO]])</f>
        <v>#REF!</v>
      </c>
      <c r="AM140" s="42">
        <v>59523</v>
      </c>
      <c r="AN140" s="43">
        <v>45008</v>
      </c>
      <c r="AO140" s="50">
        <v>52000000</v>
      </c>
      <c r="AP140" s="42"/>
      <c r="AQ140" s="53"/>
      <c r="AR140" s="42"/>
      <c r="AS140" s="53">
        <v>52000000</v>
      </c>
      <c r="AT140" s="67" t="s">
        <v>297</v>
      </c>
      <c r="AU140" s="144">
        <v>45009</v>
      </c>
      <c r="AV140" s="67" t="s">
        <v>74</v>
      </c>
      <c r="AW140" s="43">
        <v>45009</v>
      </c>
      <c r="AX140" s="43">
        <v>45040</v>
      </c>
      <c r="AY140" s="42">
        <v>30</v>
      </c>
      <c r="AZ140" s="87" t="s">
        <v>1052</v>
      </c>
      <c r="BA140" s="70">
        <v>30738603</v>
      </c>
      <c r="BB140" s="50"/>
      <c r="BC140" s="55"/>
      <c r="BD140" s="42"/>
      <c r="BE140" s="55"/>
      <c r="BF140" s="42"/>
      <c r="BG140" s="55"/>
      <c r="BH140" s="50"/>
      <c r="BI140" s="55"/>
      <c r="BJ140" s="50">
        <v>52000000</v>
      </c>
      <c r="BK140" s="55"/>
      <c r="BL140" s="55"/>
      <c r="BM140" s="55"/>
      <c r="BN140" s="55"/>
      <c r="BO140" s="42"/>
      <c r="BP140" s="55"/>
      <c r="BQ140" s="55"/>
      <c r="BR140" s="50"/>
      <c r="BS140" s="55"/>
      <c r="BT140" s="42">
        <v>30</v>
      </c>
      <c r="BU140" s="55"/>
      <c r="BV140" s="54"/>
    </row>
    <row r="141" spans="1:74" ht="15" customHeight="1" x14ac:dyDescent="0.25">
      <c r="A141" s="36" t="s">
        <v>459</v>
      </c>
      <c r="B141" s="37" t="s">
        <v>460</v>
      </c>
      <c r="C141" s="38" t="s">
        <v>481</v>
      </c>
      <c r="D141" s="70">
        <v>122</v>
      </c>
      <c r="E141" s="39" t="s">
        <v>344</v>
      </c>
      <c r="F141" s="42" t="s">
        <v>1079</v>
      </c>
      <c r="G141" s="70">
        <v>182978</v>
      </c>
      <c r="H141" s="42" t="s">
        <v>769</v>
      </c>
      <c r="I141" s="68">
        <v>45006</v>
      </c>
      <c r="J141" s="39" t="s">
        <v>651</v>
      </c>
      <c r="K141" s="70" t="s">
        <v>1067</v>
      </c>
      <c r="L141" s="39" t="s">
        <v>61</v>
      </c>
      <c r="M141" s="67" t="s">
        <v>1068</v>
      </c>
      <c r="N141" s="87" t="s">
        <v>1069</v>
      </c>
      <c r="O141" s="67" t="s">
        <v>1070</v>
      </c>
      <c r="P141" s="87">
        <v>45000000</v>
      </c>
      <c r="Q141" s="87">
        <v>44999707</v>
      </c>
      <c r="R141" s="70">
        <v>30123</v>
      </c>
      <c r="S141" s="67" t="s">
        <v>1071</v>
      </c>
      <c r="T141" s="42" t="s">
        <v>64</v>
      </c>
      <c r="U141" s="70" t="s">
        <v>65</v>
      </c>
      <c r="V141" s="42"/>
      <c r="W141" s="55" t="s">
        <v>1080</v>
      </c>
      <c r="X141" s="70" t="s">
        <v>994</v>
      </c>
      <c r="Y141" s="43">
        <v>45008</v>
      </c>
      <c r="Z141" s="39" t="s">
        <v>658</v>
      </c>
      <c r="AA141" s="42"/>
      <c r="AB141" s="39" t="s">
        <v>68</v>
      </c>
      <c r="AC141" s="39" t="s">
        <v>69</v>
      </c>
      <c r="AD141" s="42" t="s">
        <v>1081</v>
      </c>
      <c r="AE141" s="42" t="s">
        <v>1082</v>
      </c>
      <c r="AF141" s="42"/>
      <c r="AG141" s="39" t="s">
        <v>517</v>
      </c>
      <c r="AH141" s="39" t="s">
        <v>551</v>
      </c>
      <c r="AI141" s="39"/>
      <c r="AJ141" s="39"/>
      <c r="AK141" s="42"/>
      <c r="AL141" s="52" t="e">
        <f ca="1">+YEAR(TODAY())-YEAR([7]!Tabla1[[#This Row],[FECHA DE NACIMIENTO]])</f>
        <v>#REF!</v>
      </c>
      <c r="AM141" s="42">
        <v>61023</v>
      </c>
      <c r="AN141" s="43">
        <v>45009</v>
      </c>
      <c r="AO141" s="50">
        <v>2660583</v>
      </c>
      <c r="AP141" s="42"/>
      <c r="AQ141" s="53"/>
      <c r="AR141" s="42"/>
      <c r="AS141" s="50">
        <v>2660583</v>
      </c>
      <c r="AT141" s="70" t="s">
        <v>1073</v>
      </c>
      <c r="AU141" s="89" t="s">
        <v>517</v>
      </c>
      <c r="AV141" s="89" t="s">
        <v>517</v>
      </c>
      <c r="AW141" s="43">
        <v>45008</v>
      </c>
      <c r="AX141" s="43">
        <v>45098</v>
      </c>
      <c r="AY141" s="42">
        <v>90</v>
      </c>
      <c r="AZ141" s="87" t="s">
        <v>1074</v>
      </c>
      <c r="BA141" s="70">
        <v>40029680</v>
      </c>
      <c r="BB141" s="50"/>
      <c r="BC141" s="55"/>
      <c r="BD141" s="42"/>
      <c r="BE141" s="55"/>
      <c r="BF141" s="42"/>
      <c r="BG141" s="55"/>
      <c r="BH141" s="50"/>
      <c r="BI141" s="55"/>
      <c r="BJ141" s="50">
        <v>2660583</v>
      </c>
      <c r="BK141" s="55"/>
      <c r="BL141" s="55"/>
      <c r="BM141" s="55"/>
      <c r="BN141" s="55"/>
      <c r="BO141" s="42"/>
      <c r="BP141" s="55"/>
      <c r="BQ141" s="55"/>
      <c r="BR141" s="50"/>
      <c r="BS141" s="55"/>
      <c r="BT141" s="42">
        <v>90</v>
      </c>
      <c r="BU141" s="55"/>
      <c r="BV141" s="54"/>
    </row>
    <row r="142" spans="1:74" s="77" customFormat="1" ht="15" customHeight="1" x14ac:dyDescent="0.25">
      <c r="A142" s="79" t="s">
        <v>459</v>
      </c>
      <c r="B142" s="79" t="s">
        <v>460</v>
      </c>
      <c r="C142" s="76" t="s">
        <v>54</v>
      </c>
      <c r="D142" s="79">
        <v>279</v>
      </c>
      <c r="E142" s="76" t="s">
        <v>344</v>
      </c>
      <c r="F142" s="79" t="s">
        <v>1043</v>
      </c>
      <c r="G142" s="151" t="s">
        <v>1044</v>
      </c>
      <c r="H142" s="79" t="s">
        <v>769</v>
      </c>
      <c r="I142" s="78">
        <v>45006</v>
      </c>
      <c r="J142" s="79" t="s">
        <v>1032</v>
      </c>
      <c r="K142" s="79" t="s">
        <v>1045</v>
      </c>
      <c r="L142" s="76" t="s">
        <v>766</v>
      </c>
      <c r="M142" s="76" t="s">
        <v>1046</v>
      </c>
      <c r="N142" s="152" t="s">
        <v>1035</v>
      </c>
      <c r="O142" s="152" t="s">
        <v>1036</v>
      </c>
      <c r="P142" s="152">
        <v>52000000</v>
      </c>
      <c r="Q142" s="152">
        <v>52000000</v>
      </c>
      <c r="R142" s="79">
        <v>24423</v>
      </c>
      <c r="S142" s="79" t="s">
        <v>1037</v>
      </c>
      <c r="T142" s="79" t="s">
        <v>64</v>
      </c>
      <c r="U142" s="79" t="s">
        <v>65</v>
      </c>
      <c r="V142" s="79"/>
      <c r="W142" s="151" t="s">
        <v>1047</v>
      </c>
      <c r="X142" s="79" t="s">
        <v>994</v>
      </c>
      <c r="Y142" s="83">
        <v>45007</v>
      </c>
      <c r="Z142" s="79" t="s">
        <v>1039</v>
      </c>
      <c r="AA142" s="79"/>
      <c r="AB142" s="79" t="s">
        <v>1048</v>
      </c>
      <c r="AC142" s="79" t="s">
        <v>1049</v>
      </c>
      <c r="AD142" s="79" t="s">
        <v>1050</v>
      </c>
      <c r="AE142" s="79" t="s">
        <v>1051</v>
      </c>
      <c r="AF142" s="79"/>
      <c r="AG142" s="76" t="s">
        <v>517</v>
      </c>
      <c r="AH142" s="76" t="s">
        <v>551</v>
      </c>
      <c r="AI142" s="76"/>
      <c r="AJ142" s="76"/>
      <c r="AK142" s="79"/>
      <c r="AL142" s="82" t="s">
        <v>517</v>
      </c>
      <c r="AM142" s="79">
        <v>59523</v>
      </c>
      <c r="AN142" s="83">
        <v>45008</v>
      </c>
      <c r="AO142" s="152">
        <v>52000000</v>
      </c>
      <c r="AP142" s="79"/>
      <c r="AQ142" s="153"/>
      <c r="AR142" s="79"/>
      <c r="AS142" s="153">
        <v>52000000</v>
      </c>
      <c r="AT142" s="76" t="s">
        <v>297</v>
      </c>
      <c r="AU142" s="83">
        <v>45009</v>
      </c>
      <c r="AV142" s="76" t="s">
        <v>74</v>
      </c>
      <c r="AW142" s="83">
        <v>45009</v>
      </c>
      <c r="AX142" s="83">
        <v>45040</v>
      </c>
      <c r="AY142" s="79">
        <v>30</v>
      </c>
      <c r="AZ142" s="152" t="s">
        <v>1239</v>
      </c>
      <c r="BA142" s="79">
        <v>30738603</v>
      </c>
      <c r="BB142" s="152"/>
      <c r="BC142" s="151"/>
      <c r="BD142" s="79"/>
      <c r="BE142" s="151"/>
      <c r="BF142" s="79"/>
      <c r="BG142" s="151"/>
      <c r="BH142" s="152"/>
      <c r="BI142" s="151"/>
      <c r="BJ142" s="152">
        <v>52000000</v>
      </c>
      <c r="BK142" s="79">
        <v>28</v>
      </c>
      <c r="BL142" s="151">
        <v>45068</v>
      </c>
      <c r="BM142" s="151">
        <v>45037</v>
      </c>
      <c r="BN142" s="151"/>
      <c r="BO142" s="79"/>
      <c r="BP142" s="151"/>
      <c r="BQ142" s="151"/>
      <c r="BR142" s="152"/>
      <c r="BS142" s="151"/>
      <c r="BT142" s="76">
        <f>SUM(AY142+BK142+BN142+BQ142)</f>
        <v>58</v>
      </c>
      <c r="BU142" s="151"/>
      <c r="BV142" s="79"/>
    </row>
    <row r="143" spans="1:74" ht="15" customHeight="1" x14ac:dyDescent="0.25">
      <c r="A143" s="123" t="s">
        <v>459</v>
      </c>
      <c r="B143" s="124" t="s">
        <v>460</v>
      </c>
      <c r="C143" s="124" t="s">
        <v>481</v>
      </c>
      <c r="D143" s="67">
        <v>129</v>
      </c>
      <c r="E143" s="39" t="s">
        <v>409</v>
      </c>
      <c r="F143" s="39" t="s">
        <v>1145</v>
      </c>
      <c r="G143" s="67">
        <v>146546</v>
      </c>
      <c r="H143" s="42" t="s">
        <v>769</v>
      </c>
      <c r="I143" s="43">
        <v>45006</v>
      </c>
      <c r="J143" s="39" t="s">
        <v>1120</v>
      </c>
      <c r="K143" s="67" t="s">
        <v>1121</v>
      </c>
      <c r="L143" s="125" t="s">
        <v>766</v>
      </c>
      <c r="M143" s="70" t="s">
        <v>1287</v>
      </c>
      <c r="N143" s="146">
        <v>76111501</v>
      </c>
      <c r="O143" s="324" t="s">
        <v>1138</v>
      </c>
      <c r="P143" s="141">
        <v>119925811</v>
      </c>
      <c r="Q143" s="141">
        <v>119925811</v>
      </c>
      <c r="R143" s="67">
        <v>28623</v>
      </c>
      <c r="S143" s="70" t="s">
        <v>1037</v>
      </c>
      <c r="T143" s="125" t="s">
        <v>64</v>
      </c>
      <c r="U143" s="146" t="s">
        <v>65</v>
      </c>
      <c r="V143" s="39"/>
      <c r="W143" s="126" t="s">
        <v>1288</v>
      </c>
      <c r="X143" s="67" t="s">
        <v>1248</v>
      </c>
      <c r="Y143" s="43">
        <v>45020</v>
      </c>
      <c r="Z143" s="39" t="s">
        <v>1249</v>
      </c>
      <c r="AA143" s="39"/>
      <c r="AB143" s="39" t="s">
        <v>1289</v>
      </c>
      <c r="AC143" s="39" t="s">
        <v>1290</v>
      </c>
      <c r="AD143" s="132" t="s">
        <v>1291</v>
      </c>
      <c r="AE143" s="39">
        <v>900240753</v>
      </c>
      <c r="AF143" s="39">
        <v>1</v>
      </c>
      <c r="AG143" s="39" t="s">
        <v>517</v>
      </c>
      <c r="AH143" s="39"/>
      <c r="AI143" s="39"/>
      <c r="AJ143" s="39"/>
      <c r="AK143" s="39" t="s">
        <v>517</v>
      </c>
      <c r="AL143" s="43" t="s">
        <v>517</v>
      </c>
      <c r="AM143" s="42">
        <v>66723</v>
      </c>
      <c r="AN143" s="43">
        <v>45021</v>
      </c>
      <c r="AO143" s="129">
        <v>113180028.02</v>
      </c>
      <c r="AP143" s="39"/>
      <c r="AQ143" s="45"/>
      <c r="AR143" s="39"/>
      <c r="AS143" s="176">
        <f>SUM(AO143+AP143+AQ143+AR143)</f>
        <v>113180028.02</v>
      </c>
      <c r="AT143" s="67" t="s">
        <v>297</v>
      </c>
      <c r="AU143" s="144">
        <v>45036</v>
      </c>
      <c r="AV143" s="146" t="s">
        <v>74</v>
      </c>
      <c r="AW143" s="43">
        <v>45020</v>
      </c>
      <c r="AX143" s="43">
        <v>45291</v>
      </c>
      <c r="AY143" s="125">
        <f>(AX143-AW143)</f>
        <v>271</v>
      </c>
      <c r="AZ143" s="154" t="s">
        <v>1292</v>
      </c>
      <c r="BA143" s="125">
        <v>27082113</v>
      </c>
      <c r="BB143" s="39"/>
      <c r="BC143" s="39"/>
      <c r="BD143" s="39"/>
      <c r="BE143" s="43"/>
      <c r="BF143" s="39"/>
      <c r="BG143" s="43"/>
      <c r="BH143" s="41"/>
      <c r="BI143" s="39"/>
      <c r="BJ143" s="127">
        <f>SUM(AS143+BB143+BD143+BF143-BH143)</f>
        <v>113180028.02</v>
      </c>
      <c r="BK143" s="43"/>
      <c r="BL143" s="39"/>
      <c r="BM143" s="39"/>
      <c r="BN143" s="43"/>
      <c r="BO143" s="39"/>
      <c r="BP143" s="41"/>
      <c r="BQ143" s="43"/>
      <c r="BR143" s="39"/>
      <c r="BS143" s="43"/>
      <c r="BT143" s="39">
        <f>SUM(AY143+BK143+BN143+BQ143)</f>
        <v>271</v>
      </c>
      <c r="BU143" s="39"/>
      <c r="BV143" s="46"/>
    </row>
    <row r="144" spans="1:74" ht="15" customHeight="1" x14ac:dyDescent="0.25">
      <c r="A144" s="56" t="s">
        <v>459</v>
      </c>
      <c r="B144" s="57" t="s">
        <v>460</v>
      </c>
      <c r="C144" s="58" t="s">
        <v>54</v>
      </c>
      <c r="D144" s="111">
        <v>126</v>
      </c>
      <c r="E144" s="59" t="s">
        <v>221</v>
      </c>
      <c r="F144" s="110" t="s">
        <v>852</v>
      </c>
      <c r="G144" s="155" t="s">
        <v>853</v>
      </c>
      <c r="H144" s="110" t="s">
        <v>769</v>
      </c>
      <c r="I144" s="113">
        <v>45007</v>
      </c>
      <c r="J144" s="110" t="s">
        <v>847</v>
      </c>
      <c r="K144" s="111" t="s">
        <v>854</v>
      </c>
      <c r="L144" s="59" t="s">
        <v>61</v>
      </c>
      <c r="M144" s="114" t="s">
        <v>855</v>
      </c>
      <c r="N144" s="156" t="s">
        <v>856</v>
      </c>
      <c r="O144" s="157" t="s">
        <v>857</v>
      </c>
      <c r="P144" s="156">
        <v>75000000</v>
      </c>
      <c r="Q144" s="156">
        <v>75000000</v>
      </c>
      <c r="R144" s="111">
        <v>25523</v>
      </c>
      <c r="S144" s="111" t="s">
        <v>858</v>
      </c>
      <c r="T144" s="59" t="s">
        <v>516</v>
      </c>
      <c r="U144" s="114" t="s">
        <v>517</v>
      </c>
      <c r="V144" s="110"/>
      <c r="W144" s="112"/>
      <c r="X144" s="111"/>
      <c r="Y144" s="112"/>
      <c r="Z144" s="110"/>
      <c r="AA144" s="110"/>
      <c r="AB144" s="110"/>
      <c r="AC144" s="110"/>
      <c r="AD144" s="110"/>
      <c r="AE144" s="110"/>
      <c r="AF144" s="110"/>
      <c r="AG144" s="110"/>
      <c r="AH144" s="110"/>
      <c r="AI144" s="59"/>
      <c r="AJ144" s="59"/>
      <c r="AK144" s="65"/>
      <c r="AL144" s="118" t="e">
        <f ca="1">+YEAR(TODAY())-YEAR([3]!Tabla1[[#This Row],[FECHA DE NACIMIENTO]])</f>
        <v>#REF!</v>
      </c>
      <c r="AM144" s="59"/>
      <c r="AN144" s="60"/>
      <c r="AO144" s="115"/>
      <c r="AP144" s="110"/>
      <c r="AQ144" s="119"/>
      <c r="AR144" s="110"/>
      <c r="AS144" s="130"/>
      <c r="AT144" s="111"/>
      <c r="AU144" s="155"/>
      <c r="AV144" s="155"/>
      <c r="AW144" s="60"/>
      <c r="AX144" s="60"/>
      <c r="AY144" s="59">
        <f>(AX144-AW144)</f>
        <v>0</v>
      </c>
      <c r="AZ144" s="115"/>
      <c r="BA144" s="59"/>
      <c r="BB144" s="115"/>
      <c r="BC144" s="112"/>
      <c r="BD144" s="110"/>
      <c r="BE144" s="112"/>
      <c r="BF144" s="110"/>
      <c r="BG144" s="112"/>
      <c r="BH144" s="115"/>
      <c r="BI144" s="112"/>
      <c r="BJ144" s="115"/>
      <c r="BK144" s="112"/>
      <c r="BL144" s="112"/>
      <c r="BM144" s="112"/>
      <c r="BN144" s="112"/>
      <c r="BO144" s="110"/>
      <c r="BP144" s="112"/>
      <c r="BQ144" s="112"/>
      <c r="BR144" s="115"/>
      <c r="BS144" s="112"/>
      <c r="BT144" s="110"/>
      <c r="BU144" s="112"/>
      <c r="BV144" s="121"/>
    </row>
    <row r="145" spans="1:74" s="59" customFormat="1" ht="15" customHeight="1" x14ac:dyDescent="0.25">
      <c r="A145" s="158" t="s">
        <v>459</v>
      </c>
      <c r="B145" s="37" t="s">
        <v>460</v>
      </c>
      <c r="C145" s="39" t="s">
        <v>481</v>
      </c>
      <c r="D145" s="42">
        <v>122</v>
      </c>
      <c r="E145" s="39" t="s">
        <v>344</v>
      </c>
      <c r="F145" s="42" t="s">
        <v>1084</v>
      </c>
      <c r="G145" s="42">
        <v>183255</v>
      </c>
      <c r="H145" s="42" t="s">
        <v>769</v>
      </c>
      <c r="I145" s="68">
        <v>45007</v>
      </c>
      <c r="J145" s="39" t="s">
        <v>651</v>
      </c>
      <c r="K145" s="42" t="s">
        <v>1067</v>
      </c>
      <c r="L145" s="39" t="s">
        <v>61</v>
      </c>
      <c r="M145" s="39" t="s">
        <v>1068</v>
      </c>
      <c r="N145" s="50" t="s">
        <v>1069</v>
      </c>
      <c r="O145" s="39" t="s">
        <v>1070</v>
      </c>
      <c r="P145" s="50">
        <v>45000000</v>
      </c>
      <c r="Q145" s="50">
        <v>44999707</v>
      </c>
      <c r="R145" s="42">
        <v>30123</v>
      </c>
      <c r="S145" s="39" t="s">
        <v>1071</v>
      </c>
      <c r="T145" s="42" t="s">
        <v>64</v>
      </c>
      <c r="U145" s="42" t="s">
        <v>65</v>
      </c>
      <c r="V145" s="42"/>
      <c r="W145" s="55" t="s">
        <v>1085</v>
      </c>
      <c r="X145" s="42" t="s">
        <v>994</v>
      </c>
      <c r="Y145" s="43">
        <v>45008</v>
      </c>
      <c r="Z145" s="39" t="s">
        <v>658</v>
      </c>
      <c r="AA145" s="42"/>
      <c r="AB145" s="39" t="s">
        <v>68</v>
      </c>
      <c r="AC145" s="39" t="s">
        <v>69</v>
      </c>
      <c r="AD145" s="42" t="s">
        <v>1086</v>
      </c>
      <c r="AE145" s="42" t="s">
        <v>1087</v>
      </c>
      <c r="AF145" s="42"/>
      <c r="AG145" s="39" t="s">
        <v>517</v>
      </c>
      <c r="AH145" s="39" t="s">
        <v>551</v>
      </c>
      <c r="AI145" s="39"/>
      <c r="AJ145" s="39"/>
      <c r="AK145" s="42"/>
      <c r="AL145" s="52" t="e">
        <f ca="1">+YEAR(TODAY())-YEAR([7]!Tabla1[[#This Row],[FECHA DE NACIMIENTO]])</f>
        <v>#REF!</v>
      </c>
      <c r="AM145" s="42">
        <v>61123</v>
      </c>
      <c r="AN145" s="43">
        <v>45009</v>
      </c>
      <c r="AO145" s="50">
        <v>3232214</v>
      </c>
      <c r="AP145" s="42"/>
      <c r="AQ145" s="53"/>
      <c r="AR145" s="42"/>
      <c r="AS145" s="50">
        <v>3232214</v>
      </c>
      <c r="AT145" s="42" t="s">
        <v>1073</v>
      </c>
      <c r="AU145" s="55" t="s">
        <v>517</v>
      </c>
      <c r="AV145" s="55" t="s">
        <v>517</v>
      </c>
      <c r="AW145" s="43">
        <v>45008</v>
      </c>
      <c r="AX145" s="43">
        <v>45099</v>
      </c>
      <c r="AY145" s="42">
        <v>91</v>
      </c>
      <c r="AZ145" s="50" t="s">
        <v>1088</v>
      </c>
      <c r="BA145" s="42">
        <v>1018409885</v>
      </c>
      <c r="BB145" s="50"/>
      <c r="BC145" s="55"/>
      <c r="BD145" s="42"/>
      <c r="BE145" s="55"/>
      <c r="BF145" s="42"/>
      <c r="BG145" s="55"/>
      <c r="BH145" s="50"/>
      <c r="BI145" s="55"/>
      <c r="BJ145" s="50">
        <v>3232214</v>
      </c>
      <c r="BK145" s="55"/>
      <c r="BL145" s="55"/>
      <c r="BM145" s="55"/>
      <c r="BN145" s="55"/>
      <c r="BO145" s="42"/>
      <c r="BP145" s="55"/>
      <c r="BQ145" s="55"/>
      <c r="BR145" s="50"/>
      <c r="BS145" s="55"/>
      <c r="BT145" s="42">
        <v>91</v>
      </c>
      <c r="BU145" s="55"/>
      <c r="BV145" s="42"/>
    </row>
    <row r="146" spans="1:74" ht="15" customHeight="1" x14ac:dyDescent="0.25">
      <c r="A146" s="36" t="s">
        <v>459</v>
      </c>
      <c r="B146" s="37" t="s">
        <v>460</v>
      </c>
      <c r="C146" s="38" t="s">
        <v>481</v>
      </c>
      <c r="D146" s="42">
        <v>122</v>
      </c>
      <c r="E146" s="39" t="s">
        <v>344</v>
      </c>
      <c r="F146" s="42" t="s">
        <v>1089</v>
      </c>
      <c r="G146" s="70">
        <v>183019</v>
      </c>
      <c r="H146" s="42" t="s">
        <v>769</v>
      </c>
      <c r="I146" s="68">
        <v>45007</v>
      </c>
      <c r="J146" s="39" t="s">
        <v>651</v>
      </c>
      <c r="K146" s="42" t="s">
        <v>1067</v>
      </c>
      <c r="L146" s="39" t="s">
        <v>61</v>
      </c>
      <c r="M146" s="39" t="s">
        <v>1068</v>
      </c>
      <c r="N146" s="50" t="s">
        <v>1069</v>
      </c>
      <c r="O146" s="39" t="s">
        <v>1070</v>
      </c>
      <c r="P146" s="50">
        <v>45000000</v>
      </c>
      <c r="Q146" s="50">
        <v>44999707</v>
      </c>
      <c r="R146" s="42">
        <v>30123</v>
      </c>
      <c r="S146" s="39" t="s">
        <v>1071</v>
      </c>
      <c r="T146" s="42" t="s">
        <v>64</v>
      </c>
      <c r="U146" s="42" t="s">
        <v>65</v>
      </c>
      <c r="V146" s="42"/>
      <c r="W146" s="55" t="s">
        <v>1090</v>
      </c>
      <c r="X146" s="42" t="s">
        <v>994</v>
      </c>
      <c r="Y146" s="43">
        <v>45008</v>
      </c>
      <c r="Z146" s="39" t="s">
        <v>658</v>
      </c>
      <c r="AA146" s="42"/>
      <c r="AB146" s="39" t="s">
        <v>68</v>
      </c>
      <c r="AC146" s="39" t="s">
        <v>69</v>
      </c>
      <c r="AD146" s="42" t="s">
        <v>1091</v>
      </c>
      <c r="AE146" s="42">
        <v>10125834</v>
      </c>
      <c r="AF146" s="42"/>
      <c r="AG146" s="39" t="s">
        <v>517</v>
      </c>
      <c r="AH146" s="39" t="s">
        <v>551</v>
      </c>
      <c r="AI146" s="39"/>
      <c r="AJ146" s="39"/>
      <c r="AK146" s="42"/>
      <c r="AL146" s="52" t="e">
        <f ca="1">+YEAR(TODAY())-YEAR([7]!Tabla1[[#This Row],[FECHA DE NACIMIENTO]])</f>
        <v>#REF!</v>
      </c>
      <c r="AM146" s="42">
        <v>61923</v>
      </c>
      <c r="AN146" s="43">
        <v>45013</v>
      </c>
      <c r="AO146" s="50">
        <v>2945200</v>
      </c>
      <c r="AP146" s="42"/>
      <c r="AQ146" s="53"/>
      <c r="AR146" s="42"/>
      <c r="AS146" s="50">
        <v>2945200</v>
      </c>
      <c r="AT146" s="42" t="s">
        <v>1073</v>
      </c>
      <c r="AU146" s="89" t="s">
        <v>517</v>
      </c>
      <c r="AV146" s="55" t="s">
        <v>517</v>
      </c>
      <c r="AW146" s="43">
        <v>45008</v>
      </c>
      <c r="AX146" s="43">
        <v>45099</v>
      </c>
      <c r="AY146" s="42">
        <v>91</v>
      </c>
      <c r="AZ146" s="50" t="s">
        <v>1088</v>
      </c>
      <c r="BA146" s="42">
        <v>1018409885</v>
      </c>
      <c r="BB146" s="50"/>
      <c r="BC146" s="55"/>
      <c r="BD146" s="42"/>
      <c r="BE146" s="55"/>
      <c r="BF146" s="42"/>
      <c r="BG146" s="55"/>
      <c r="BH146" s="50"/>
      <c r="BI146" s="55"/>
      <c r="BJ146" s="50">
        <v>2945200</v>
      </c>
      <c r="BK146" s="55"/>
      <c r="BL146" s="55"/>
      <c r="BM146" s="55"/>
      <c r="BN146" s="55"/>
      <c r="BO146" s="42"/>
      <c r="BP146" s="55"/>
      <c r="BQ146" s="55"/>
      <c r="BR146" s="50"/>
      <c r="BS146" s="55"/>
      <c r="BT146" s="42">
        <v>91</v>
      </c>
      <c r="BU146" s="55"/>
      <c r="BV146" s="54"/>
    </row>
    <row r="147" spans="1:74" s="59" customFormat="1" ht="15" customHeight="1" x14ac:dyDescent="0.25">
      <c r="A147" s="159" t="s">
        <v>459</v>
      </c>
      <c r="B147" s="124" t="s">
        <v>460</v>
      </c>
      <c r="C147" s="125" t="s">
        <v>481</v>
      </c>
      <c r="D147" s="39">
        <v>266</v>
      </c>
      <c r="E147" s="39" t="s">
        <v>409</v>
      </c>
      <c r="F147" s="39" t="s">
        <v>1133</v>
      </c>
      <c r="G147" s="160">
        <v>146730</v>
      </c>
      <c r="H147" s="42" t="s">
        <v>769</v>
      </c>
      <c r="I147" s="43">
        <v>45007</v>
      </c>
      <c r="J147" s="39" t="s">
        <v>1120</v>
      </c>
      <c r="K147" s="39" t="s">
        <v>1121</v>
      </c>
      <c r="L147" s="125" t="s">
        <v>610</v>
      </c>
      <c r="M147" s="42" t="s">
        <v>1134</v>
      </c>
      <c r="N147" s="125">
        <v>42171917</v>
      </c>
      <c r="O147" s="42" t="s">
        <v>1135</v>
      </c>
      <c r="P147" s="127">
        <v>33500000</v>
      </c>
      <c r="Q147" s="127">
        <v>33500000</v>
      </c>
      <c r="R147" s="42">
        <v>26923</v>
      </c>
      <c r="S147" s="42" t="s">
        <v>1136</v>
      </c>
      <c r="T147" s="125" t="s">
        <v>64</v>
      </c>
      <c r="U147" s="39" t="s">
        <v>65</v>
      </c>
      <c r="V147" s="39"/>
      <c r="W147" s="126">
        <v>107641</v>
      </c>
      <c r="X147" s="39" t="s">
        <v>1248</v>
      </c>
      <c r="Y147" s="43">
        <v>45029</v>
      </c>
      <c r="Z147" s="39" t="s">
        <v>1125</v>
      </c>
      <c r="AA147" s="39"/>
      <c r="AB147" s="125" t="s">
        <v>68</v>
      </c>
      <c r="AC147" s="125" t="s">
        <v>69</v>
      </c>
      <c r="AD147" s="39" t="s">
        <v>1269</v>
      </c>
      <c r="AE147" s="39">
        <v>900349363</v>
      </c>
      <c r="AF147" s="39">
        <v>2</v>
      </c>
      <c r="AG147" s="39" t="s">
        <v>517</v>
      </c>
      <c r="AH147" s="39" t="s">
        <v>551</v>
      </c>
      <c r="AI147" s="39" t="s">
        <v>1270</v>
      </c>
      <c r="AJ147" s="39"/>
      <c r="AK147" s="39" t="s">
        <v>517</v>
      </c>
      <c r="AL147" s="43" t="s">
        <v>517</v>
      </c>
      <c r="AM147" s="42">
        <v>70823</v>
      </c>
      <c r="AN147" s="43">
        <v>45030</v>
      </c>
      <c r="AO147" s="129">
        <v>18221815.34</v>
      </c>
      <c r="AP147" s="39"/>
      <c r="AQ147" s="45"/>
      <c r="AR147" s="39"/>
      <c r="AS147" s="176">
        <f>SUM(AO147+AP147+AQ147+AR147)</f>
        <v>18221815.34</v>
      </c>
      <c r="AT147" s="39" t="s">
        <v>297</v>
      </c>
      <c r="AU147" s="43">
        <v>45030</v>
      </c>
      <c r="AV147" s="125" t="s">
        <v>74</v>
      </c>
      <c r="AW147" s="43">
        <v>45030</v>
      </c>
      <c r="AX147" s="43">
        <v>45119</v>
      </c>
      <c r="AY147" s="39">
        <f>(AX147-AW147)</f>
        <v>89</v>
      </c>
      <c r="AZ147" s="41" t="s">
        <v>1127</v>
      </c>
      <c r="BA147" s="125">
        <v>22789760</v>
      </c>
      <c r="BB147" s="39"/>
      <c r="BC147" s="39"/>
      <c r="BD147" s="39"/>
      <c r="BE147" s="43"/>
      <c r="BF147" s="39"/>
      <c r="BG147" s="43"/>
      <c r="BH147" s="41"/>
      <c r="BI147" s="39"/>
      <c r="BJ147" s="127">
        <f>SUM(AS147+BB147+BD147+BF147-BH147)</f>
        <v>18221815.34</v>
      </c>
      <c r="BK147" s="43"/>
      <c r="BL147" s="39"/>
      <c r="BM147" s="39"/>
      <c r="BN147" s="43"/>
      <c r="BO147" s="39"/>
      <c r="BP147" s="41"/>
      <c r="BQ147" s="43"/>
      <c r="BR147" s="39"/>
      <c r="BS147" s="43"/>
      <c r="BT147" s="39">
        <f>SUM(AY147+BK147+BN147+BQ147)</f>
        <v>89</v>
      </c>
      <c r="BU147" s="39"/>
      <c r="BV147" s="39"/>
    </row>
    <row r="148" spans="1:74" s="76" customFormat="1" ht="15" customHeight="1" x14ac:dyDescent="0.25">
      <c r="A148" s="161" t="s">
        <v>459</v>
      </c>
      <c r="B148" s="74" t="s">
        <v>460</v>
      </c>
      <c r="C148" s="76" t="s">
        <v>481</v>
      </c>
      <c r="D148" s="76">
        <v>42</v>
      </c>
      <c r="E148" s="76" t="s">
        <v>55</v>
      </c>
      <c r="F148" s="76" t="s">
        <v>777</v>
      </c>
      <c r="G148" s="79">
        <v>146961</v>
      </c>
      <c r="H148" s="76" t="s">
        <v>769</v>
      </c>
      <c r="I148" s="162">
        <v>45008</v>
      </c>
      <c r="J148" s="76" t="s">
        <v>492</v>
      </c>
      <c r="K148" s="76" t="s">
        <v>508</v>
      </c>
      <c r="L148" s="79" t="s">
        <v>250</v>
      </c>
      <c r="M148" s="76" t="s">
        <v>778</v>
      </c>
      <c r="N148" s="79">
        <v>81111811</v>
      </c>
      <c r="O148" s="79" t="s">
        <v>779</v>
      </c>
      <c r="P148" s="152">
        <v>4019895748</v>
      </c>
      <c r="Q148" s="152">
        <v>4019860837.5999999</v>
      </c>
      <c r="R148" s="79">
        <v>26023</v>
      </c>
      <c r="S148" s="79" t="s">
        <v>89</v>
      </c>
      <c r="T148" s="76" t="s">
        <v>64</v>
      </c>
      <c r="U148" s="76" t="s">
        <v>65</v>
      </c>
      <c r="V148" s="79"/>
      <c r="W148" s="79" t="s">
        <v>1175</v>
      </c>
      <c r="X148" s="79" t="s">
        <v>1155</v>
      </c>
      <c r="Y148" s="78">
        <v>45033</v>
      </c>
      <c r="Z148" s="79" t="s">
        <v>816</v>
      </c>
      <c r="AA148" s="79"/>
      <c r="AB148" s="76" t="s">
        <v>68</v>
      </c>
      <c r="AC148" s="76" t="s">
        <v>69</v>
      </c>
      <c r="AD148" s="79" t="s">
        <v>1176</v>
      </c>
      <c r="AE148" s="79">
        <v>900011395</v>
      </c>
      <c r="AF148" s="79">
        <v>6</v>
      </c>
      <c r="AG148" s="79"/>
      <c r="AH148" s="79"/>
      <c r="AK148" s="79"/>
      <c r="AL148" s="163">
        <f ca="1">+YEAR(TODAY())-YEAR(Tabla13[[#This Row],[FECHA DE NACIMIENTO]])</f>
        <v>123</v>
      </c>
      <c r="AM148" s="79">
        <v>71823</v>
      </c>
      <c r="AN148" s="151">
        <v>45033</v>
      </c>
      <c r="AO148" s="80">
        <v>2499999979.2199998</v>
      </c>
      <c r="AP148" s="79"/>
      <c r="AQ148" s="79"/>
      <c r="AR148" s="79"/>
      <c r="AS148" s="164">
        <f>SUM(AO148+AP148+AQ148+AR148)</f>
        <v>2499999979.2199998</v>
      </c>
      <c r="AT148" s="76" t="s">
        <v>297</v>
      </c>
      <c r="AU148" s="151">
        <v>45034</v>
      </c>
      <c r="AV148" s="76" t="s">
        <v>727</v>
      </c>
      <c r="AW148" s="151">
        <v>45048</v>
      </c>
      <c r="AX148" s="83">
        <v>45291</v>
      </c>
      <c r="AY148" s="76">
        <f>(AX148-AW148)</f>
        <v>243</v>
      </c>
      <c r="AZ148" s="79" t="s">
        <v>1177</v>
      </c>
      <c r="BA148" s="79">
        <v>52836662</v>
      </c>
      <c r="BB148" s="152"/>
      <c r="BC148" s="151"/>
      <c r="BD148" s="79"/>
      <c r="BE148" s="79"/>
      <c r="BF148" s="79"/>
      <c r="BG148" s="151"/>
      <c r="BH148" s="79"/>
      <c r="BI148" s="151"/>
      <c r="BJ148" s="152"/>
      <c r="BK148" s="79"/>
      <c r="BL148" s="151"/>
      <c r="BM148" s="151"/>
      <c r="BN148" s="79"/>
      <c r="BO148" s="79"/>
      <c r="BP148" s="151"/>
      <c r="BQ148" s="79"/>
      <c r="BR148" s="152"/>
      <c r="BS148" s="151"/>
      <c r="BT148" s="79"/>
      <c r="BU148" s="151"/>
      <c r="BV148" s="79"/>
    </row>
    <row r="149" spans="1:74" s="59" customFormat="1" ht="15" customHeight="1" x14ac:dyDescent="0.25">
      <c r="A149" s="158" t="s">
        <v>459</v>
      </c>
      <c r="B149" s="37" t="s">
        <v>460</v>
      </c>
      <c r="C149" s="39" t="s">
        <v>54</v>
      </c>
      <c r="D149" s="42">
        <v>208</v>
      </c>
      <c r="E149" s="42" t="s">
        <v>345</v>
      </c>
      <c r="F149" s="42" t="s">
        <v>952</v>
      </c>
      <c r="G149" s="55" t="s">
        <v>953</v>
      </c>
      <c r="H149" s="42" t="s">
        <v>769</v>
      </c>
      <c r="I149" s="71">
        <v>45008</v>
      </c>
      <c r="J149" s="42" t="s">
        <v>59</v>
      </c>
      <c r="K149" s="42" t="s">
        <v>290</v>
      </c>
      <c r="L149" s="42" t="s">
        <v>340</v>
      </c>
      <c r="M149" s="42" t="s">
        <v>954</v>
      </c>
      <c r="N149" s="42" t="s">
        <v>955</v>
      </c>
      <c r="O149" s="50" t="s">
        <v>956</v>
      </c>
      <c r="P149" s="50">
        <v>30000000</v>
      </c>
      <c r="Q149" s="50">
        <v>30000000</v>
      </c>
      <c r="R149" s="42">
        <v>28723</v>
      </c>
      <c r="S149" s="42" t="s">
        <v>957</v>
      </c>
      <c r="T149" s="42" t="s">
        <v>64</v>
      </c>
      <c r="U149" s="42" t="s">
        <v>65</v>
      </c>
      <c r="V149" s="42" t="s">
        <v>517</v>
      </c>
      <c r="W149" s="55" t="s">
        <v>958</v>
      </c>
      <c r="X149" s="39" t="s">
        <v>769</v>
      </c>
      <c r="Y149" s="55">
        <v>45013</v>
      </c>
      <c r="Z149" s="42" t="s">
        <v>60</v>
      </c>
      <c r="AA149" s="42"/>
      <c r="AB149" s="42" t="s">
        <v>295</v>
      </c>
      <c r="AC149" s="42" t="s">
        <v>69</v>
      </c>
      <c r="AD149" s="42" t="s">
        <v>959</v>
      </c>
      <c r="AE149" s="42">
        <v>52966252</v>
      </c>
      <c r="AF149" s="42" t="s">
        <v>517</v>
      </c>
      <c r="AG149" s="42" t="s">
        <v>960</v>
      </c>
      <c r="AH149" s="42"/>
      <c r="AI149" s="39"/>
      <c r="AJ149" s="39"/>
      <c r="AK149" s="55">
        <v>30627</v>
      </c>
      <c r="AL149" s="52" t="e">
        <f ca="1">+YEAR(TODAY())-YEAR([8]!Tabla1[[#This Row],[FECHA DE NACIMIENTO]])</f>
        <v>#REF!</v>
      </c>
      <c r="AM149" s="39">
        <v>63123</v>
      </c>
      <c r="AN149" s="55">
        <v>45014</v>
      </c>
      <c r="AO149" s="50">
        <v>30000000</v>
      </c>
      <c r="AP149" s="42"/>
      <c r="AQ149" s="53"/>
      <c r="AR149" s="42"/>
      <c r="AS149" s="53">
        <v>30000000</v>
      </c>
      <c r="AT149" s="42" t="s">
        <v>297</v>
      </c>
      <c r="AU149" s="55">
        <v>45016</v>
      </c>
      <c r="AV149" s="55" t="s">
        <v>74</v>
      </c>
      <c r="AW149" s="55">
        <v>45017</v>
      </c>
      <c r="AX149" s="55">
        <v>45291</v>
      </c>
      <c r="AY149" s="39">
        <f>(AX149-AW149)</f>
        <v>274</v>
      </c>
      <c r="AZ149" s="50" t="s">
        <v>961</v>
      </c>
      <c r="BA149" s="39">
        <v>79994053</v>
      </c>
      <c r="BB149" s="50"/>
      <c r="BC149" s="55"/>
      <c r="BD149" s="42"/>
      <c r="BE149" s="55"/>
      <c r="BF149" s="42"/>
      <c r="BG149" s="55"/>
      <c r="BH149" s="50"/>
      <c r="BI149" s="55"/>
      <c r="BJ149" s="41" t="e">
        <f>([8]!Tabla1[[#This Row],[VALOR TOTAL CONTRATO + VF]]+[8]!Tabla1[[#This Row],[ADICION 1 ]]+[8]!Tabla1[[#This Row],[ADICION 2]]-[8]!Tabla1[[#This Row],[LIBERACION]])</f>
        <v>#REF!</v>
      </c>
      <c r="BK149" s="55"/>
      <c r="BL149" s="55"/>
      <c r="BM149" s="55"/>
      <c r="BN149" s="55"/>
      <c r="BO149" s="42"/>
      <c r="BP149" s="55"/>
      <c r="BQ149" s="55"/>
      <c r="BR149" s="50"/>
      <c r="BS149" s="55"/>
      <c r="BT149" s="42">
        <f>SUM(AY149+BK149+BN149+BQ149)</f>
        <v>274</v>
      </c>
      <c r="BU149" s="55"/>
      <c r="BV149" s="42"/>
    </row>
    <row r="150" spans="1:74" ht="15" customHeight="1" x14ac:dyDescent="0.25">
      <c r="A150" s="123" t="s">
        <v>459</v>
      </c>
      <c r="B150" s="124" t="s">
        <v>460</v>
      </c>
      <c r="C150" s="124" t="s">
        <v>481</v>
      </c>
      <c r="D150" s="39">
        <v>202</v>
      </c>
      <c r="E150" s="39" t="s">
        <v>344</v>
      </c>
      <c r="F150" s="39" t="s">
        <v>1092</v>
      </c>
      <c r="G150" s="44">
        <v>147073</v>
      </c>
      <c r="H150" s="42" t="s">
        <v>769</v>
      </c>
      <c r="I150" s="43">
        <v>45008</v>
      </c>
      <c r="J150" s="67" t="s">
        <v>1120</v>
      </c>
      <c r="K150" s="39" t="s">
        <v>1121</v>
      </c>
      <c r="L150" s="125" t="s">
        <v>766</v>
      </c>
      <c r="M150" s="42" t="s">
        <v>1329</v>
      </c>
      <c r="N150" s="125">
        <v>43233200</v>
      </c>
      <c r="O150" s="41" t="s">
        <v>1330</v>
      </c>
      <c r="P150" s="131">
        <v>68613302.739999995</v>
      </c>
      <c r="Q150" s="131">
        <v>68613302.739999995</v>
      </c>
      <c r="R150" s="39">
        <v>28923</v>
      </c>
      <c r="S150" s="39" t="s">
        <v>294</v>
      </c>
      <c r="T150" s="125" t="s">
        <v>64</v>
      </c>
      <c r="U150" s="125" t="s">
        <v>65</v>
      </c>
      <c r="V150" s="39"/>
      <c r="W150" s="126">
        <v>107932</v>
      </c>
      <c r="X150" s="39" t="s">
        <v>1248</v>
      </c>
      <c r="Y150" s="43">
        <v>45034</v>
      </c>
      <c r="Z150" s="67" t="s">
        <v>1125</v>
      </c>
      <c r="AA150" s="39"/>
      <c r="AB150" s="125" t="s">
        <v>68</v>
      </c>
      <c r="AC150" s="125" t="s">
        <v>69</v>
      </c>
      <c r="AD150" s="39" t="s">
        <v>1331</v>
      </c>
      <c r="AE150" s="39">
        <v>830084433</v>
      </c>
      <c r="AF150" s="39">
        <v>7</v>
      </c>
      <c r="AG150" s="39" t="s">
        <v>517</v>
      </c>
      <c r="AH150" s="39"/>
      <c r="AI150" s="39"/>
      <c r="AJ150" s="39"/>
      <c r="AK150" s="39" t="s">
        <v>517</v>
      </c>
      <c r="AL150" s="43" t="s">
        <v>517</v>
      </c>
      <c r="AM150" s="42">
        <v>73423</v>
      </c>
      <c r="AN150" s="43">
        <v>45036</v>
      </c>
      <c r="AO150" s="129">
        <v>3391910.55</v>
      </c>
      <c r="AP150" s="39"/>
      <c r="AQ150" s="45"/>
      <c r="AR150" s="39"/>
      <c r="AS150" s="176">
        <f>SUM(AO150+AP150+AQ150+AR150)</f>
        <v>3391910.55</v>
      </c>
      <c r="AT150" s="39" t="s">
        <v>297</v>
      </c>
      <c r="AU150" s="43"/>
      <c r="AV150" s="125" t="s">
        <v>74</v>
      </c>
      <c r="AW150" s="43">
        <v>45034</v>
      </c>
      <c r="AX150" s="43">
        <v>45119</v>
      </c>
      <c r="AY150" s="39">
        <f>(AX150-AW150)</f>
        <v>85</v>
      </c>
      <c r="AZ150" s="41" t="s">
        <v>1332</v>
      </c>
      <c r="BA150" s="125">
        <v>79717103</v>
      </c>
      <c r="BB150" s="39"/>
      <c r="BC150" s="39"/>
      <c r="BD150" s="39"/>
      <c r="BE150" s="43"/>
      <c r="BF150" s="39"/>
      <c r="BG150" s="43"/>
      <c r="BH150" s="41"/>
      <c r="BI150" s="39"/>
      <c r="BJ150" s="127">
        <f>SUM(AS150+BB150+BD150+BF150-BH150)</f>
        <v>3391910.55</v>
      </c>
      <c r="BK150" s="43"/>
      <c r="BL150" s="39"/>
      <c r="BM150" s="39"/>
      <c r="BN150" s="43"/>
      <c r="BO150" s="39"/>
      <c r="BP150" s="41"/>
      <c r="BQ150" s="43"/>
      <c r="BR150" s="39"/>
      <c r="BS150" s="43"/>
      <c r="BT150" s="39">
        <f>SUM(AY150+BK150+BN150+BQ150)</f>
        <v>85</v>
      </c>
      <c r="BU150" s="39"/>
      <c r="BV150" s="46"/>
    </row>
    <row r="151" spans="1:74" ht="15" customHeight="1" x14ac:dyDescent="0.25">
      <c r="A151" s="36" t="s">
        <v>459</v>
      </c>
      <c r="B151" s="37" t="s">
        <v>460</v>
      </c>
      <c r="C151" s="38" t="s">
        <v>481</v>
      </c>
      <c r="D151" s="70">
        <v>202</v>
      </c>
      <c r="E151" s="39" t="s">
        <v>344</v>
      </c>
      <c r="F151" s="70" t="s">
        <v>1097</v>
      </c>
      <c r="G151" s="70">
        <v>147076</v>
      </c>
      <c r="H151" s="42" t="s">
        <v>769</v>
      </c>
      <c r="I151" s="68">
        <v>45008</v>
      </c>
      <c r="J151" s="67" t="s">
        <v>1093</v>
      </c>
      <c r="K151" s="70" t="s">
        <v>1094</v>
      </c>
      <c r="L151" s="39" t="s">
        <v>61</v>
      </c>
      <c r="M151" s="67" t="s">
        <v>1095</v>
      </c>
      <c r="N151" s="70">
        <v>432332</v>
      </c>
      <c r="O151" s="87" t="s">
        <v>1096</v>
      </c>
      <c r="P151" s="87">
        <v>250000000</v>
      </c>
      <c r="Q151" s="87">
        <v>68613302.739999995</v>
      </c>
      <c r="R151" s="70">
        <v>28923</v>
      </c>
      <c r="S151" s="70" t="s">
        <v>294</v>
      </c>
      <c r="T151" s="42" t="s">
        <v>448</v>
      </c>
      <c r="U151" s="70" t="s">
        <v>517</v>
      </c>
      <c r="V151" s="70"/>
      <c r="W151" s="89"/>
      <c r="X151" s="70"/>
      <c r="Y151" s="55"/>
      <c r="Z151" s="67" t="s">
        <v>1093</v>
      </c>
      <c r="AA151" s="70"/>
      <c r="AB151" s="67" t="s">
        <v>68</v>
      </c>
      <c r="AC151" s="67" t="s">
        <v>69</v>
      </c>
      <c r="AD151" s="70"/>
      <c r="AE151" s="70"/>
      <c r="AF151" s="70"/>
      <c r="AG151" s="39" t="s">
        <v>517</v>
      </c>
      <c r="AH151" s="39" t="s">
        <v>551</v>
      </c>
      <c r="AI151" s="67"/>
      <c r="AJ151" s="67"/>
      <c r="AK151" s="70"/>
      <c r="AL151" s="52" t="e">
        <f ca="1">+YEAR(TODAY())-YEAR([7]!Tabla1[[#This Row],[FECHA DE NACIMIENTO]])</f>
        <v>#REF!</v>
      </c>
      <c r="AM151" s="87"/>
      <c r="AN151" s="55"/>
      <c r="AO151" s="87"/>
      <c r="AP151" s="70"/>
      <c r="AQ151" s="149"/>
      <c r="AR151" s="70"/>
      <c r="AS151" s="90"/>
      <c r="AT151" s="42"/>
      <c r="AU151" s="55"/>
      <c r="AV151" s="150"/>
      <c r="AW151" s="55"/>
      <c r="AX151" s="55"/>
      <c r="AY151" s="70"/>
      <c r="AZ151" s="87"/>
      <c r="BA151" s="89"/>
      <c r="BB151" s="87"/>
      <c r="BC151" s="89"/>
      <c r="BD151" s="70"/>
      <c r="BE151" s="89"/>
      <c r="BF151" s="70"/>
      <c r="BG151" s="89"/>
      <c r="BH151" s="87"/>
      <c r="BI151" s="89"/>
      <c r="BJ151" s="87"/>
      <c r="BK151" s="89"/>
      <c r="BL151" s="89"/>
      <c r="BM151" s="89"/>
      <c r="BN151" s="89"/>
      <c r="BO151" s="70"/>
      <c r="BP151" s="89"/>
      <c r="BQ151" s="89"/>
      <c r="BR151" s="87"/>
      <c r="BS151" s="89"/>
      <c r="BT151" s="42"/>
      <c r="BU151" s="89"/>
      <c r="BV151" s="91"/>
    </row>
    <row r="152" spans="1:74" ht="15" customHeight="1" x14ac:dyDescent="0.25">
      <c r="A152" s="159" t="s">
        <v>459</v>
      </c>
      <c r="B152" s="124" t="s">
        <v>460</v>
      </c>
      <c r="C152" s="125" t="s">
        <v>481</v>
      </c>
      <c r="D152" s="165">
        <v>202</v>
      </c>
      <c r="E152" s="39" t="s">
        <v>344</v>
      </c>
      <c r="F152" s="39" t="s">
        <v>1333</v>
      </c>
      <c r="G152" s="44">
        <v>147076</v>
      </c>
      <c r="H152" s="42" t="s">
        <v>769</v>
      </c>
      <c r="I152" s="43">
        <v>45008</v>
      </c>
      <c r="J152" s="166" t="s">
        <v>1120</v>
      </c>
      <c r="K152" s="39" t="s">
        <v>1121</v>
      </c>
      <c r="L152" s="125" t="s">
        <v>766</v>
      </c>
      <c r="M152" s="42" t="s">
        <v>1329</v>
      </c>
      <c r="N152" s="125">
        <v>43233200</v>
      </c>
      <c r="O152" s="41" t="s">
        <v>1330</v>
      </c>
      <c r="P152" s="131">
        <v>68613302.739999995</v>
      </c>
      <c r="Q152" s="131">
        <v>68613302.739999995</v>
      </c>
      <c r="R152" s="39">
        <v>28923</v>
      </c>
      <c r="S152" s="39" t="s">
        <v>294</v>
      </c>
      <c r="T152" s="125" t="s">
        <v>64</v>
      </c>
      <c r="U152" s="125" t="s">
        <v>65</v>
      </c>
      <c r="V152" s="39"/>
      <c r="W152" s="126">
        <v>107934</v>
      </c>
      <c r="X152" s="39" t="s">
        <v>1248</v>
      </c>
      <c r="Y152" s="43">
        <v>45034</v>
      </c>
      <c r="Z152" s="39" t="s">
        <v>1125</v>
      </c>
      <c r="AA152" s="39"/>
      <c r="AB152" s="125" t="s">
        <v>68</v>
      </c>
      <c r="AC152" s="125" t="s">
        <v>69</v>
      </c>
      <c r="AD152" s="39" t="s">
        <v>1334</v>
      </c>
      <c r="AE152" s="39">
        <v>900204272</v>
      </c>
      <c r="AF152" s="39">
        <v>8</v>
      </c>
      <c r="AG152" s="39" t="s">
        <v>517</v>
      </c>
      <c r="AH152" s="39"/>
      <c r="AI152" s="39"/>
      <c r="AJ152" s="39"/>
      <c r="AK152" s="39" t="s">
        <v>517</v>
      </c>
      <c r="AL152" s="43" t="s">
        <v>517</v>
      </c>
      <c r="AM152" s="167" t="s">
        <v>1335</v>
      </c>
      <c r="AN152" s="43">
        <v>45035</v>
      </c>
      <c r="AO152" s="129">
        <v>3821479.37</v>
      </c>
      <c r="AP152" s="39"/>
      <c r="AQ152" s="45"/>
      <c r="AR152" s="39"/>
      <c r="AS152" s="176">
        <f>SUM(AO152+AP152+AQ152+AR152)</f>
        <v>3821479.37</v>
      </c>
      <c r="AT152" s="39" t="s">
        <v>297</v>
      </c>
      <c r="AU152" s="43"/>
      <c r="AV152" s="125" t="s">
        <v>74</v>
      </c>
      <c r="AW152" s="43">
        <v>45034</v>
      </c>
      <c r="AX152" s="43">
        <v>45119</v>
      </c>
      <c r="AY152" s="39">
        <f t="shared" ref="AY152:AY162" si="17">(AX152-AW152)</f>
        <v>85</v>
      </c>
      <c r="AZ152" s="41" t="s">
        <v>1336</v>
      </c>
      <c r="BA152" s="125">
        <v>55223374</v>
      </c>
      <c r="BB152" s="39"/>
      <c r="BC152" s="39"/>
      <c r="BD152" s="39"/>
      <c r="BE152" s="43"/>
      <c r="BF152" s="39"/>
      <c r="BG152" s="43"/>
      <c r="BH152" s="41"/>
      <c r="BI152" s="39"/>
      <c r="BJ152" s="127">
        <f t="shared" ref="BJ152:BJ161" si="18">SUM(AS152+BB152+BD152+BF152-BH152)</f>
        <v>3821479.37</v>
      </c>
      <c r="BK152" s="43"/>
      <c r="BL152" s="39"/>
      <c r="BM152" s="39"/>
      <c r="BN152" s="43"/>
      <c r="BO152" s="39"/>
      <c r="BP152" s="41"/>
      <c r="BQ152" s="43"/>
      <c r="BR152" s="39"/>
      <c r="BS152" s="43"/>
      <c r="BT152" s="39">
        <f t="shared" ref="BT152:BT162" si="19">SUM(AY152+BK152+BN152+BQ152)</f>
        <v>85</v>
      </c>
      <c r="BU152" s="39"/>
      <c r="BV152" s="46"/>
    </row>
    <row r="153" spans="1:74" s="59" customFormat="1" ht="15" customHeight="1" x14ac:dyDescent="0.25">
      <c r="A153" s="159" t="s">
        <v>459</v>
      </c>
      <c r="B153" s="124" t="s">
        <v>460</v>
      </c>
      <c r="C153" s="125" t="s">
        <v>481</v>
      </c>
      <c r="D153" s="39">
        <v>202</v>
      </c>
      <c r="E153" s="39" t="s">
        <v>344</v>
      </c>
      <c r="F153" s="39" t="s">
        <v>1337</v>
      </c>
      <c r="G153" s="44">
        <v>147086</v>
      </c>
      <c r="H153" s="42" t="s">
        <v>769</v>
      </c>
      <c r="I153" s="43">
        <v>45008</v>
      </c>
      <c r="J153" s="39" t="s">
        <v>1120</v>
      </c>
      <c r="K153" s="39" t="s">
        <v>1121</v>
      </c>
      <c r="L153" s="125" t="s">
        <v>766</v>
      </c>
      <c r="M153" s="42" t="s">
        <v>1329</v>
      </c>
      <c r="N153" s="125">
        <v>43233200</v>
      </c>
      <c r="O153" s="41" t="s">
        <v>1330</v>
      </c>
      <c r="P153" s="131">
        <v>68613302.739999995</v>
      </c>
      <c r="Q153" s="131">
        <v>68613302.739999995</v>
      </c>
      <c r="R153" s="39">
        <v>28923</v>
      </c>
      <c r="S153" s="39" t="s">
        <v>294</v>
      </c>
      <c r="T153" s="125" t="s">
        <v>64</v>
      </c>
      <c r="U153" s="125" t="s">
        <v>65</v>
      </c>
      <c r="V153" s="39"/>
      <c r="W153" s="126">
        <v>108173</v>
      </c>
      <c r="X153" s="39" t="s">
        <v>1248</v>
      </c>
      <c r="Y153" s="43">
        <v>45037</v>
      </c>
      <c r="Z153" s="39" t="s">
        <v>1125</v>
      </c>
      <c r="AA153" s="39"/>
      <c r="AB153" s="125" t="s">
        <v>68</v>
      </c>
      <c r="AC153" s="125" t="s">
        <v>69</v>
      </c>
      <c r="AD153" s="39" t="s">
        <v>1334</v>
      </c>
      <c r="AE153" s="39">
        <v>900204272</v>
      </c>
      <c r="AF153" s="39">
        <v>8</v>
      </c>
      <c r="AG153" s="39" t="s">
        <v>517</v>
      </c>
      <c r="AH153" s="39"/>
      <c r="AI153" s="39"/>
      <c r="AJ153" s="39"/>
      <c r="AK153" s="39" t="s">
        <v>517</v>
      </c>
      <c r="AL153" s="43" t="s">
        <v>517</v>
      </c>
      <c r="AM153" s="44">
        <v>75323</v>
      </c>
      <c r="AN153" s="43">
        <v>45037</v>
      </c>
      <c r="AO153" s="129">
        <v>6027350</v>
      </c>
      <c r="AP153" s="39"/>
      <c r="AQ153" s="45"/>
      <c r="AR153" s="39"/>
      <c r="AS153" s="176">
        <f>SUM(AO153+AP153+AQ153+AR153)</f>
        <v>6027350</v>
      </c>
      <c r="AT153" s="39" t="s">
        <v>297</v>
      </c>
      <c r="AU153" s="43"/>
      <c r="AV153" s="125" t="s">
        <v>74</v>
      </c>
      <c r="AW153" s="43">
        <v>45037</v>
      </c>
      <c r="AX153" s="43">
        <v>45119</v>
      </c>
      <c r="AY153" s="39">
        <f t="shared" si="17"/>
        <v>82</v>
      </c>
      <c r="AZ153" s="41" t="s">
        <v>1336</v>
      </c>
      <c r="BA153" s="125">
        <v>55223374</v>
      </c>
      <c r="BB153" s="39"/>
      <c r="BC153" s="39"/>
      <c r="BD153" s="39"/>
      <c r="BE153" s="43"/>
      <c r="BF153" s="39"/>
      <c r="BG153" s="43"/>
      <c r="BH153" s="41"/>
      <c r="BI153" s="39"/>
      <c r="BJ153" s="127">
        <f t="shared" si="18"/>
        <v>6027350</v>
      </c>
      <c r="BK153" s="43"/>
      <c r="BL153" s="39"/>
      <c r="BM153" s="39"/>
      <c r="BN153" s="43"/>
      <c r="BO153" s="39"/>
      <c r="BP153" s="41"/>
      <c r="BQ153" s="43"/>
      <c r="BR153" s="39"/>
      <c r="BS153" s="43"/>
      <c r="BT153" s="39">
        <f t="shared" si="19"/>
        <v>82</v>
      </c>
      <c r="BU153" s="39"/>
      <c r="BV153" s="39"/>
    </row>
    <row r="154" spans="1:74" s="59" customFormat="1" ht="15" customHeight="1" x14ac:dyDescent="0.25">
      <c r="A154" s="159" t="s">
        <v>459</v>
      </c>
      <c r="B154" s="124" t="s">
        <v>460</v>
      </c>
      <c r="C154" s="125" t="s">
        <v>481</v>
      </c>
      <c r="D154" s="39">
        <v>202</v>
      </c>
      <c r="E154" s="39" t="s">
        <v>344</v>
      </c>
      <c r="F154" s="39" t="s">
        <v>1098</v>
      </c>
      <c r="G154" s="44">
        <v>147082</v>
      </c>
      <c r="H154" s="42" t="s">
        <v>769</v>
      </c>
      <c r="I154" s="43">
        <v>45008</v>
      </c>
      <c r="J154" s="39" t="s">
        <v>1120</v>
      </c>
      <c r="K154" s="39" t="s">
        <v>1121</v>
      </c>
      <c r="L154" s="125" t="s">
        <v>766</v>
      </c>
      <c r="M154" s="42" t="s">
        <v>1329</v>
      </c>
      <c r="N154" s="125">
        <v>43233200</v>
      </c>
      <c r="O154" s="41" t="s">
        <v>1330</v>
      </c>
      <c r="P154" s="131">
        <v>68613302.739999995</v>
      </c>
      <c r="Q154" s="131">
        <v>68613302.739999995</v>
      </c>
      <c r="R154" s="39">
        <v>28923</v>
      </c>
      <c r="S154" s="39" t="s">
        <v>294</v>
      </c>
      <c r="T154" s="125" t="s">
        <v>64</v>
      </c>
      <c r="U154" s="125" t="s">
        <v>65</v>
      </c>
      <c r="V154" s="39"/>
      <c r="W154" s="126">
        <v>108355</v>
      </c>
      <c r="X154" s="39" t="s">
        <v>1248</v>
      </c>
      <c r="Y154" s="43">
        <v>45041</v>
      </c>
      <c r="Z154" s="39" t="s">
        <v>1125</v>
      </c>
      <c r="AA154" s="39"/>
      <c r="AB154" s="125" t="s">
        <v>68</v>
      </c>
      <c r="AC154" s="125" t="s">
        <v>69</v>
      </c>
      <c r="AD154" s="39" t="s">
        <v>1334</v>
      </c>
      <c r="AE154" s="39">
        <v>900204272</v>
      </c>
      <c r="AF154" s="39">
        <v>8</v>
      </c>
      <c r="AG154" s="39" t="s">
        <v>517</v>
      </c>
      <c r="AH154" s="39"/>
      <c r="AI154" s="39"/>
      <c r="AJ154" s="39"/>
      <c r="AK154" s="39" t="s">
        <v>517</v>
      </c>
      <c r="AL154" s="43" t="s">
        <v>517</v>
      </c>
      <c r="AM154" s="44">
        <v>76823</v>
      </c>
      <c r="AN154" s="43">
        <v>45041</v>
      </c>
      <c r="AO154" s="129">
        <v>2871742.03</v>
      </c>
      <c r="AP154" s="39"/>
      <c r="AQ154" s="45"/>
      <c r="AR154" s="39"/>
      <c r="AS154" s="176">
        <f>SUM(AO154+AP154+AQ154+AR154)</f>
        <v>2871742.03</v>
      </c>
      <c r="AT154" s="39" t="s">
        <v>297</v>
      </c>
      <c r="AU154" s="43"/>
      <c r="AV154" s="125" t="s">
        <v>74</v>
      </c>
      <c r="AW154" s="43">
        <v>45041</v>
      </c>
      <c r="AX154" s="43">
        <v>45119</v>
      </c>
      <c r="AY154" s="39">
        <f t="shared" si="17"/>
        <v>78</v>
      </c>
      <c r="AZ154" s="41" t="s">
        <v>1338</v>
      </c>
      <c r="BA154" s="125">
        <v>46668764</v>
      </c>
      <c r="BB154" s="39"/>
      <c r="BC154" s="39"/>
      <c r="BD154" s="39"/>
      <c r="BE154" s="43"/>
      <c r="BF154" s="39"/>
      <c r="BG154" s="43"/>
      <c r="BH154" s="41"/>
      <c r="BI154" s="39"/>
      <c r="BJ154" s="127">
        <f t="shared" si="18"/>
        <v>2871742.03</v>
      </c>
      <c r="BK154" s="43"/>
      <c r="BL154" s="39"/>
      <c r="BM154" s="39"/>
      <c r="BN154" s="43"/>
      <c r="BO154" s="39"/>
      <c r="BP154" s="41"/>
      <c r="BQ154" s="43"/>
      <c r="BR154" s="39"/>
      <c r="BS154" s="43"/>
      <c r="BT154" s="39">
        <f t="shared" si="19"/>
        <v>78</v>
      </c>
      <c r="BU154" s="39"/>
      <c r="BV154" s="39"/>
    </row>
    <row r="155" spans="1:74" s="59" customFormat="1" ht="15" customHeight="1" x14ac:dyDescent="0.25">
      <c r="A155" s="159" t="s">
        <v>459</v>
      </c>
      <c r="B155" s="124" t="s">
        <v>460</v>
      </c>
      <c r="C155" s="125" t="s">
        <v>481</v>
      </c>
      <c r="D155" s="39">
        <v>122</v>
      </c>
      <c r="E155" s="86" t="s">
        <v>344</v>
      </c>
      <c r="F155" s="39" t="s">
        <v>1083</v>
      </c>
      <c r="G155" s="43">
        <v>182996</v>
      </c>
      <c r="H155" s="39" t="s">
        <v>994</v>
      </c>
      <c r="I155" s="43">
        <v>45009</v>
      </c>
      <c r="J155" s="39" t="s">
        <v>1120</v>
      </c>
      <c r="K155" s="39" t="s">
        <v>1121</v>
      </c>
      <c r="L155" s="125" t="s">
        <v>766</v>
      </c>
      <c r="M155" s="42" t="s">
        <v>1339</v>
      </c>
      <c r="N155" s="125">
        <v>14111507</v>
      </c>
      <c r="O155" s="42" t="s">
        <v>1340</v>
      </c>
      <c r="P155" s="131">
        <v>44999707</v>
      </c>
      <c r="Q155" s="131">
        <v>44999707</v>
      </c>
      <c r="R155" s="39">
        <v>30123</v>
      </c>
      <c r="S155" s="39" t="s">
        <v>776</v>
      </c>
      <c r="T155" s="39" t="s">
        <v>64</v>
      </c>
      <c r="U155" s="39" t="s">
        <v>65</v>
      </c>
      <c r="V155" s="39"/>
      <c r="W155" s="126">
        <v>106792</v>
      </c>
      <c r="X155" s="39" t="s">
        <v>994</v>
      </c>
      <c r="Y155" s="43">
        <v>45009</v>
      </c>
      <c r="Z155" s="39" t="s">
        <v>1125</v>
      </c>
      <c r="AA155" s="39"/>
      <c r="AB155" s="125" t="s">
        <v>68</v>
      </c>
      <c r="AC155" s="125" t="s">
        <v>69</v>
      </c>
      <c r="AD155" s="42" t="s">
        <v>1126</v>
      </c>
      <c r="AE155" s="39">
        <v>860007336</v>
      </c>
      <c r="AF155" s="39">
        <v>1</v>
      </c>
      <c r="AG155" s="39" t="s">
        <v>517</v>
      </c>
      <c r="AH155" s="39"/>
      <c r="AI155" s="39"/>
      <c r="AJ155" s="39"/>
      <c r="AK155" s="39"/>
      <c r="AL155" s="43"/>
      <c r="AM155" s="44">
        <v>61523</v>
      </c>
      <c r="AN155" s="43">
        <v>45012</v>
      </c>
      <c r="AO155" s="129">
        <v>24889910</v>
      </c>
      <c r="AP155" s="39"/>
      <c r="AQ155" s="45"/>
      <c r="AR155" s="39"/>
      <c r="AS155" s="176">
        <f>SUM(AO155+AP155+AQ155+AR155)</f>
        <v>24889910</v>
      </c>
      <c r="AT155" s="39" t="s">
        <v>551</v>
      </c>
      <c r="AU155" s="43"/>
      <c r="AV155" s="125" t="s">
        <v>517</v>
      </c>
      <c r="AW155" s="43">
        <v>45009</v>
      </c>
      <c r="AX155" s="43">
        <v>45099</v>
      </c>
      <c r="AY155" s="39">
        <f t="shared" si="17"/>
        <v>90</v>
      </c>
      <c r="AZ155" s="41" t="s">
        <v>1341</v>
      </c>
      <c r="BA155" s="39">
        <v>40029680</v>
      </c>
      <c r="BB155" s="39"/>
      <c r="BC155" s="39"/>
      <c r="BD155" s="39"/>
      <c r="BE155" s="43"/>
      <c r="BF155" s="39"/>
      <c r="BG155" s="43"/>
      <c r="BH155" s="41"/>
      <c r="BI155" s="127">
        <v>13700</v>
      </c>
      <c r="BJ155" s="127">
        <f t="shared" si="18"/>
        <v>24889910</v>
      </c>
      <c r="BK155" s="43"/>
      <c r="BL155" s="39"/>
      <c r="BM155" s="39"/>
      <c r="BN155" s="43"/>
      <c r="BO155" s="39"/>
      <c r="BP155" s="41"/>
      <c r="BQ155" s="43"/>
      <c r="BR155" s="39"/>
      <c r="BS155" s="43"/>
      <c r="BT155" s="39">
        <f t="shared" si="19"/>
        <v>90</v>
      </c>
      <c r="BU155" s="39"/>
      <c r="BV155" s="39"/>
    </row>
    <row r="156" spans="1:74" s="59" customFormat="1" ht="15" customHeight="1" x14ac:dyDescent="0.25">
      <c r="A156" s="159" t="s">
        <v>459</v>
      </c>
      <c r="B156" s="124" t="s">
        <v>460</v>
      </c>
      <c r="C156" s="125" t="s">
        <v>481</v>
      </c>
      <c r="D156" s="39">
        <v>268</v>
      </c>
      <c r="E156" s="39" t="s">
        <v>409</v>
      </c>
      <c r="F156" s="39" t="s">
        <v>1119</v>
      </c>
      <c r="G156" s="126">
        <v>101228</v>
      </c>
      <c r="H156" s="42" t="s">
        <v>769</v>
      </c>
      <c r="I156" s="43">
        <v>45009</v>
      </c>
      <c r="J156" s="125" t="s">
        <v>1120</v>
      </c>
      <c r="K156" s="39" t="s">
        <v>1121</v>
      </c>
      <c r="L156" s="125" t="s">
        <v>610</v>
      </c>
      <c r="M156" s="125" t="s">
        <v>1122</v>
      </c>
      <c r="N156" s="125">
        <v>56101508</v>
      </c>
      <c r="O156" s="42" t="s">
        <v>1123</v>
      </c>
      <c r="P156" s="127">
        <v>52019488</v>
      </c>
      <c r="Q156" s="127">
        <v>52019488</v>
      </c>
      <c r="R156" s="42">
        <v>26523</v>
      </c>
      <c r="S156" s="42" t="s">
        <v>1124</v>
      </c>
      <c r="T156" s="125" t="s">
        <v>64</v>
      </c>
      <c r="U156" s="125" t="s">
        <v>65</v>
      </c>
      <c r="V156" s="39"/>
      <c r="W156" s="126">
        <v>106790</v>
      </c>
      <c r="X156" s="39" t="s">
        <v>632</v>
      </c>
      <c r="Y156" s="43">
        <v>45009</v>
      </c>
      <c r="Z156" s="39" t="s">
        <v>1125</v>
      </c>
      <c r="AA156" s="39"/>
      <c r="AB156" s="125" t="s">
        <v>68</v>
      </c>
      <c r="AC156" s="125" t="s">
        <v>69</v>
      </c>
      <c r="AD156" s="42" t="s">
        <v>1126</v>
      </c>
      <c r="AE156" s="39">
        <v>860007336</v>
      </c>
      <c r="AF156" s="39">
        <v>1</v>
      </c>
      <c r="AG156" s="39" t="s">
        <v>517</v>
      </c>
      <c r="AH156" s="39" t="s">
        <v>551</v>
      </c>
      <c r="AI156" s="39"/>
      <c r="AJ156" s="39"/>
      <c r="AK156" s="39" t="s">
        <v>517</v>
      </c>
      <c r="AL156" s="43" t="s">
        <v>517</v>
      </c>
      <c r="AM156" s="42">
        <v>65523</v>
      </c>
      <c r="AN156" s="43">
        <v>45013</v>
      </c>
      <c r="AO156" s="129">
        <v>27991420</v>
      </c>
      <c r="AP156" s="39"/>
      <c r="AQ156" s="45"/>
      <c r="AR156" s="39"/>
      <c r="AS156" s="129">
        <v>27991420</v>
      </c>
      <c r="AT156" s="39" t="s">
        <v>551</v>
      </c>
      <c r="AU156" s="125" t="s">
        <v>517</v>
      </c>
      <c r="AV156" s="127" t="s">
        <v>517</v>
      </c>
      <c r="AW156" s="43">
        <v>45009</v>
      </c>
      <c r="AX156" s="43">
        <v>45030</v>
      </c>
      <c r="AY156" s="125">
        <f t="shared" si="17"/>
        <v>21</v>
      </c>
      <c r="AZ156" s="41" t="s">
        <v>1127</v>
      </c>
      <c r="BA156" s="125">
        <v>22789760</v>
      </c>
      <c r="BB156" s="39"/>
      <c r="BC156" s="39"/>
      <c r="BD156" s="39"/>
      <c r="BE156" s="43"/>
      <c r="BF156" s="39"/>
      <c r="BG156" s="43"/>
      <c r="BH156" s="41"/>
      <c r="BI156" s="39"/>
      <c r="BJ156" s="127">
        <f t="shared" si="18"/>
        <v>27991420</v>
      </c>
      <c r="BK156" s="44">
        <v>47</v>
      </c>
      <c r="BL156" s="43">
        <v>45077</v>
      </c>
      <c r="BM156" s="43">
        <v>45029</v>
      </c>
      <c r="BN156" s="43"/>
      <c r="BO156" s="39"/>
      <c r="BP156" s="41"/>
      <c r="BQ156" s="43"/>
      <c r="BR156" s="39"/>
      <c r="BS156" s="43"/>
      <c r="BT156" s="160">
        <f t="shared" si="19"/>
        <v>68</v>
      </c>
      <c r="BU156" s="39"/>
      <c r="BV156" s="39"/>
    </row>
    <row r="157" spans="1:74" s="59" customFormat="1" ht="15" customHeight="1" x14ac:dyDescent="0.25">
      <c r="A157" s="159" t="s">
        <v>459</v>
      </c>
      <c r="B157" s="124" t="s">
        <v>460</v>
      </c>
      <c r="C157" s="125" t="s">
        <v>481</v>
      </c>
      <c r="D157" s="39">
        <v>268</v>
      </c>
      <c r="E157" s="39" t="s">
        <v>409</v>
      </c>
      <c r="F157" s="39" t="s">
        <v>1128</v>
      </c>
      <c r="G157" s="160">
        <v>183369</v>
      </c>
      <c r="H157" s="42" t="s">
        <v>769</v>
      </c>
      <c r="I157" s="43">
        <v>45009</v>
      </c>
      <c r="J157" s="125" t="s">
        <v>1120</v>
      </c>
      <c r="K157" s="39" t="s">
        <v>1121</v>
      </c>
      <c r="L157" s="125" t="s">
        <v>610</v>
      </c>
      <c r="M157" s="125" t="s">
        <v>1122</v>
      </c>
      <c r="N157" s="125">
        <v>56101508</v>
      </c>
      <c r="O157" s="42" t="s">
        <v>1123</v>
      </c>
      <c r="P157" s="127">
        <v>52019488</v>
      </c>
      <c r="Q157" s="127">
        <v>52019488</v>
      </c>
      <c r="R157" s="42">
        <v>26523</v>
      </c>
      <c r="S157" s="42" t="s">
        <v>1124</v>
      </c>
      <c r="T157" s="125" t="s">
        <v>64</v>
      </c>
      <c r="U157" s="125" t="s">
        <v>65</v>
      </c>
      <c r="V157" s="39"/>
      <c r="W157" s="126">
        <v>106793</v>
      </c>
      <c r="X157" s="39" t="s">
        <v>632</v>
      </c>
      <c r="Y157" s="43">
        <v>45009</v>
      </c>
      <c r="Z157" s="39" t="s">
        <v>1125</v>
      </c>
      <c r="AA157" s="39"/>
      <c r="AB157" s="125" t="s">
        <v>68</v>
      </c>
      <c r="AC157" s="125" t="s">
        <v>69</v>
      </c>
      <c r="AD157" s="39" t="s">
        <v>1263</v>
      </c>
      <c r="AE157" s="39">
        <v>10125834</v>
      </c>
      <c r="AF157" s="39">
        <v>1</v>
      </c>
      <c r="AG157" s="39" t="s">
        <v>517</v>
      </c>
      <c r="AH157" s="39" t="s">
        <v>551</v>
      </c>
      <c r="AI157" s="39"/>
      <c r="AJ157" s="39"/>
      <c r="AK157" s="39" t="s">
        <v>517</v>
      </c>
      <c r="AL157" s="43" t="s">
        <v>517</v>
      </c>
      <c r="AM157" s="42">
        <v>63423</v>
      </c>
      <c r="AN157" s="43">
        <v>45014</v>
      </c>
      <c r="AO157" s="129">
        <v>1911000</v>
      </c>
      <c r="AP157" s="39"/>
      <c r="AQ157" s="45"/>
      <c r="AR157" s="39"/>
      <c r="AS157" s="129">
        <v>1911000</v>
      </c>
      <c r="AT157" s="39" t="s">
        <v>551</v>
      </c>
      <c r="AU157" s="125" t="s">
        <v>517</v>
      </c>
      <c r="AV157" s="127" t="s">
        <v>517</v>
      </c>
      <c r="AW157" s="43">
        <v>45009</v>
      </c>
      <c r="AX157" s="43">
        <v>45030</v>
      </c>
      <c r="AY157" s="125">
        <f t="shared" si="17"/>
        <v>21</v>
      </c>
      <c r="AZ157" s="41" t="s">
        <v>1127</v>
      </c>
      <c r="BA157" s="125">
        <v>22789760</v>
      </c>
      <c r="BB157" s="39"/>
      <c r="BC157" s="39"/>
      <c r="BD157" s="39"/>
      <c r="BE157" s="43"/>
      <c r="BF157" s="39"/>
      <c r="BG157" s="43"/>
      <c r="BH157" s="41"/>
      <c r="BI157" s="39"/>
      <c r="BJ157" s="127">
        <f t="shared" si="18"/>
        <v>1911000</v>
      </c>
      <c r="BK157" s="44">
        <v>47</v>
      </c>
      <c r="BL157" s="43">
        <v>45077</v>
      </c>
      <c r="BM157" s="43">
        <v>45030</v>
      </c>
      <c r="BN157" s="43"/>
      <c r="BO157" s="39"/>
      <c r="BP157" s="41"/>
      <c r="BQ157" s="43"/>
      <c r="BR157" s="39"/>
      <c r="BS157" s="43"/>
      <c r="BT157" s="125">
        <f t="shared" si="19"/>
        <v>68</v>
      </c>
      <c r="BU157" s="39"/>
      <c r="BV157" s="39"/>
    </row>
    <row r="158" spans="1:74" s="3" customFormat="1" ht="15" customHeight="1" x14ac:dyDescent="0.25">
      <c r="A158" s="203" t="s">
        <v>459</v>
      </c>
      <c r="B158" s="204" t="s">
        <v>460</v>
      </c>
      <c r="C158" s="25" t="s">
        <v>481</v>
      </c>
      <c r="D158" s="3">
        <v>268</v>
      </c>
      <c r="E158" s="3" t="s">
        <v>765</v>
      </c>
      <c r="F158" s="3" t="s">
        <v>1129</v>
      </c>
      <c r="G158" s="205">
        <v>183441</v>
      </c>
      <c r="H158" s="3" t="s">
        <v>632</v>
      </c>
      <c r="I158" s="9">
        <v>45009</v>
      </c>
      <c r="J158" s="25" t="s">
        <v>1120</v>
      </c>
      <c r="K158" s="3" t="s">
        <v>1121</v>
      </c>
      <c r="L158" s="25" t="s">
        <v>610</v>
      </c>
      <c r="M158" s="25" t="s">
        <v>1122</v>
      </c>
      <c r="N158" s="25">
        <v>56101508</v>
      </c>
      <c r="O158" s="1" t="s">
        <v>1123</v>
      </c>
      <c r="P158" s="206">
        <v>52019488</v>
      </c>
      <c r="Q158" s="206">
        <v>52019488</v>
      </c>
      <c r="R158" s="1">
        <v>26523</v>
      </c>
      <c r="S158" s="1" t="s">
        <v>1124</v>
      </c>
      <c r="T158" s="25" t="s">
        <v>64</v>
      </c>
      <c r="U158" s="25" t="s">
        <v>65</v>
      </c>
      <c r="W158" s="207">
        <v>106795</v>
      </c>
      <c r="X158" s="3" t="s">
        <v>632</v>
      </c>
      <c r="Y158" s="9">
        <v>45009</v>
      </c>
      <c r="Z158" s="3" t="s">
        <v>1125</v>
      </c>
      <c r="AB158" s="208" t="s">
        <v>68</v>
      </c>
      <c r="AC158" s="208" t="s">
        <v>69</v>
      </c>
      <c r="AD158" s="3" t="s">
        <v>1130</v>
      </c>
      <c r="AE158" s="3">
        <v>8002374121</v>
      </c>
      <c r="AF158" s="3">
        <v>1</v>
      </c>
      <c r="AG158" s="3" t="s">
        <v>517</v>
      </c>
      <c r="AH158" s="3" t="s">
        <v>551</v>
      </c>
      <c r="AK158" s="3" t="s">
        <v>517</v>
      </c>
      <c r="AL158" s="9" t="s">
        <v>517</v>
      </c>
      <c r="AM158" s="1">
        <v>62323</v>
      </c>
      <c r="AN158" s="9">
        <v>45013</v>
      </c>
      <c r="AO158" s="325">
        <v>18908200</v>
      </c>
      <c r="AQ158" s="11"/>
      <c r="AS158" s="325">
        <v>18908200</v>
      </c>
      <c r="AT158" s="3" t="s">
        <v>551</v>
      </c>
      <c r="AU158" s="25" t="s">
        <v>517</v>
      </c>
      <c r="AV158" s="206" t="s">
        <v>517</v>
      </c>
      <c r="AW158" s="198">
        <v>45013</v>
      </c>
      <c r="AX158" s="9">
        <v>45030</v>
      </c>
      <c r="AY158" s="209">
        <f t="shared" si="17"/>
        <v>17</v>
      </c>
      <c r="AZ158" s="8" t="s">
        <v>1127</v>
      </c>
      <c r="BA158" s="25">
        <v>22789760</v>
      </c>
      <c r="BE158" s="9"/>
      <c r="BG158" s="9"/>
      <c r="BH158" s="8"/>
      <c r="BJ158" s="206">
        <f t="shared" si="18"/>
        <v>18908200</v>
      </c>
      <c r="BK158" s="9"/>
      <c r="BN158" s="9"/>
      <c r="BP158" s="8"/>
      <c r="BQ158" s="9"/>
      <c r="BS158" s="9"/>
      <c r="BT158" s="25">
        <f t="shared" si="19"/>
        <v>17</v>
      </c>
    </row>
    <row r="159" spans="1:74" s="59" customFormat="1" ht="15" customHeight="1" x14ac:dyDescent="0.25">
      <c r="A159" s="159" t="s">
        <v>459</v>
      </c>
      <c r="B159" s="124" t="s">
        <v>460</v>
      </c>
      <c r="C159" s="125" t="s">
        <v>481</v>
      </c>
      <c r="D159" s="39">
        <v>268</v>
      </c>
      <c r="E159" s="39" t="s">
        <v>409</v>
      </c>
      <c r="F159" s="39" t="s">
        <v>1131</v>
      </c>
      <c r="G159" s="160">
        <v>183372</v>
      </c>
      <c r="H159" s="42" t="s">
        <v>769</v>
      </c>
      <c r="I159" s="43">
        <v>45009</v>
      </c>
      <c r="J159" s="125" t="s">
        <v>1120</v>
      </c>
      <c r="K159" s="39" t="s">
        <v>1121</v>
      </c>
      <c r="L159" s="125" t="s">
        <v>610</v>
      </c>
      <c r="M159" s="326" t="s">
        <v>1122</v>
      </c>
      <c r="N159" s="125">
        <v>56101508</v>
      </c>
      <c r="O159" s="42" t="s">
        <v>1123</v>
      </c>
      <c r="P159" s="127">
        <v>52019488</v>
      </c>
      <c r="Q159" s="127">
        <v>52019488</v>
      </c>
      <c r="R159" s="42">
        <v>26523</v>
      </c>
      <c r="S159" s="42" t="s">
        <v>1124</v>
      </c>
      <c r="T159" s="125" t="s">
        <v>64</v>
      </c>
      <c r="U159" s="125" t="s">
        <v>65</v>
      </c>
      <c r="V159" s="39"/>
      <c r="W159" s="126">
        <v>106794</v>
      </c>
      <c r="X159" s="39" t="s">
        <v>632</v>
      </c>
      <c r="Y159" s="43">
        <v>45009</v>
      </c>
      <c r="Z159" s="39" t="s">
        <v>1125</v>
      </c>
      <c r="AA159" s="39"/>
      <c r="AB159" s="125" t="s">
        <v>68</v>
      </c>
      <c r="AC159" s="125" t="s">
        <v>69</v>
      </c>
      <c r="AD159" s="39" t="s">
        <v>1132</v>
      </c>
      <c r="AE159" s="39">
        <v>900365660</v>
      </c>
      <c r="AF159" s="39">
        <v>2</v>
      </c>
      <c r="AG159" s="39" t="s">
        <v>517</v>
      </c>
      <c r="AH159" s="39" t="s">
        <v>551</v>
      </c>
      <c r="AI159" s="39"/>
      <c r="AJ159" s="39"/>
      <c r="AK159" s="39" t="s">
        <v>517</v>
      </c>
      <c r="AL159" s="43" t="s">
        <v>517</v>
      </c>
      <c r="AM159" s="42">
        <v>62723</v>
      </c>
      <c r="AN159" s="43">
        <v>45013</v>
      </c>
      <c r="AO159" s="129">
        <v>1393024</v>
      </c>
      <c r="AP159" s="39"/>
      <c r="AQ159" s="45"/>
      <c r="AR159" s="39"/>
      <c r="AS159" s="129">
        <v>1393024</v>
      </c>
      <c r="AT159" s="39" t="s">
        <v>551</v>
      </c>
      <c r="AU159" s="125" t="s">
        <v>517</v>
      </c>
      <c r="AV159" s="127" t="s">
        <v>517</v>
      </c>
      <c r="AW159" s="43">
        <v>45009</v>
      </c>
      <c r="AX159" s="43">
        <v>45030</v>
      </c>
      <c r="AY159" s="125">
        <f t="shared" si="17"/>
        <v>21</v>
      </c>
      <c r="AZ159" s="41" t="s">
        <v>1127</v>
      </c>
      <c r="BA159" s="125">
        <v>22789760</v>
      </c>
      <c r="BB159" s="39"/>
      <c r="BC159" s="39"/>
      <c r="BD159" s="39"/>
      <c r="BE159" s="43"/>
      <c r="BF159" s="39"/>
      <c r="BG159" s="43"/>
      <c r="BH159" s="41"/>
      <c r="BI159" s="39"/>
      <c r="BJ159" s="127">
        <f t="shared" si="18"/>
        <v>1393024</v>
      </c>
      <c r="BK159" s="44">
        <v>47</v>
      </c>
      <c r="BL159" s="43">
        <v>45077</v>
      </c>
      <c r="BM159" s="43">
        <v>45030</v>
      </c>
      <c r="BN159" s="43"/>
      <c r="BO159" s="39"/>
      <c r="BP159" s="41"/>
      <c r="BQ159" s="43"/>
      <c r="BR159" s="39"/>
      <c r="BS159" s="43"/>
      <c r="BT159" s="125">
        <f t="shared" si="19"/>
        <v>68</v>
      </c>
      <c r="BU159" s="39"/>
      <c r="BV159" s="39"/>
    </row>
    <row r="160" spans="1:74" s="59" customFormat="1" ht="15" customHeight="1" x14ac:dyDescent="0.25">
      <c r="A160" s="159" t="s">
        <v>459</v>
      </c>
      <c r="B160" s="124" t="s">
        <v>460</v>
      </c>
      <c r="C160" s="125" t="s">
        <v>481</v>
      </c>
      <c r="D160" s="39">
        <v>130</v>
      </c>
      <c r="E160" s="39" t="s">
        <v>409</v>
      </c>
      <c r="F160" s="39" t="s">
        <v>1297</v>
      </c>
      <c r="G160" s="44">
        <v>148295</v>
      </c>
      <c r="H160" s="42" t="s">
        <v>769</v>
      </c>
      <c r="I160" s="43">
        <v>45009</v>
      </c>
      <c r="J160" s="39" t="s">
        <v>1120</v>
      </c>
      <c r="K160" s="39" t="s">
        <v>1121</v>
      </c>
      <c r="L160" s="125" t="s">
        <v>766</v>
      </c>
      <c r="M160" s="42" t="s">
        <v>1298</v>
      </c>
      <c r="N160" s="125">
        <v>76111501</v>
      </c>
      <c r="O160" s="135" t="s">
        <v>1138</v>
      </c>
      <c r="P160" s="131">
        <v>32196200</v>
      </c>
      <c r="Q160" s="131">
        <v>32196200</v>
      </c>
      <c r="R160" s="39">
        <v>28623</v>
      </c>
      <c r="S160" s="42" t="s">
        <v>1037</v>
      </c>
      <c r="T160" s="125" t="s">
        <v>64</v>
      </c>
      <c r="U160" s="125" t="s">
        <v>65</v>
      </c>
      <c r="V160" s="39"/>
      <c r="W160" s="126">
        <v>108011</v>
      </c>
      <c r="X160" s="39" t="s">
        <v>1248</v>
      </c>
      <c r="Y160" s="43">
        <v>45035</v>
      </c>
      <c r="Z160" s="39" t="s">
        <v>1249</v>
      </c>
      <c r="AA160" s="39"/>
      <c r="AB160" s="39" t="s">
        <v>1299</v>
      </c>
      <c r="AC160" s="39"/>
      <c r="AD160" s="132" t="s">
        <v>1300</v>
      </c>
      <c r="AE160" s="165">
        <v>901676927</v>
      </c>
      <c r="AF160" s="39">
        <v>1</v>
      </c>
      <c r="AG160" s="39" t="s">
        <v>517</v>
      </c>
      <c r="AH160" s="39"/>
      <c r="AI160" s="39"/>
      <c r="AJ160" s="39"/>
      <c r="AK160" s="39" t="s">
        <v>517</v>
      </c>
      <c r="AL160" s="43" t="s">
        <v>517</v>
      </c>
      <c r="AM160" s="42">
        <v>73623</v>
      </c>
      <c r="AN160" s="43">
        <v>45036</v>
      </c>
      <c r="AO160" s="129">
        <v>29011980.52</v>
      </c>
      <c r="AP160" s="39"/>
      <c r="AQ160" s="45"/>
      <c r="AR160" s="39"/>
      <c r="AS160" s="176">
        <f>SUM(AO160+AP160+AQ160+AR160)</f>
        <v>29011980.52</v>
      </c>
      <c r="AT160" s="39" t="s">
        <v>297</v>
      </c>
      <c r="AU160" s="43">
        <v>45041</v>
      </c>
      <c r="AV160" s="125" t="s">
        <v>74</v>
      </c>
      <c r="AW160" s="43">
        <v>45035</v>
      </c>
      <c r="AX160" s="43">
        <v>45291</v>
      </c>
      <c r="AY160" s="125">
        <f t="shared" si="17"/>
        <v>256</v>
      </c>
      <c r="AZ160" s="133" t="s">
        <v>1296</v>
      </c>
      <c r="BA160" s="125">
        <v>79448817</v>
      </c>
      <c r="BB160" s="39"/>
      <c r="BC160" s="39"/>
      <c r="BD160" s="39"/>
      <c r="BE160" s="43"/>
      <c r="BF160" s="39"/>
      <c r="BG160" s="43"/>
      <c r="BH160" s="41"/>
      <c r="BI160" s="39"/>
      <c r="BJ160" s="127">
        <f t="shared" si="18"/>
        <v>29011980.52</v>
      </c>
      <c r="BK160" s="43"/>
      <c r="BL160" s="39"/>
      <c r="BM160" s="39"/>
      <c r="BN160" s="43"/>
      <c r="BO160" s="39"/>
      <c r="BP160" s="41"/>
      <c r="BQ160" s="43"/>
      <c r="BR160" s="39"/>
      <c r="BS160" s="43"/>
      <c r="BT160" s="39">
        <f t="shared" si="19"/>
        <v>256</v>
      </c>
      <c r="BU160" s="39"/>
      <c r="BV160" s="39"/>
    </row>
    <row r="161" spans="1:74" s="59" customFormat="1" ht="15" customHeight="1" x14ac:dyDescent="0.25">
      <c r="A161" s="159" t="s">
        <v>459</v>
      </c>
      <c r="B161" s="124" t="s">
        <v>460</v>
      </c>
      <c r="C161" s="125" t="s">
        <v>481</v>
      </c>
      <c r="D161" s="39">
        <v>268</v>
      </c>
      <c r="E161" s="39" t="s">
        <v>409</v>
      </c>
      <c r="F161" s="39" t="s">
        <v>1131</v>
      </c>
      <c r="G161" s="160">
        <v>183372</v>
      </c>
      <c r="H161" s="42" t="s">
        <v>769</v>
      </c>
      <c r="I161" s="43">
        <v>45009</v>
      </c>
      <c r="J161" s="125" t="s">
        <v>1120</v>
      </c>
      <c r="K161" s="39" t="s">
        <v>1121</v>
      </c>
      <c r="L161" s="39" t="s">
        <v>652</v>
      </c>
      <c r="M161" s="125" t="s">
        <v>1122</v>
      </c>
      <c r="N161" s="125">
        <v>56101508</v>
      </c>
      <c r="O161" s="42" t="s">
        <v>1123</v>
      </c>
      <c r="P161" s="127">
        <v>52019488</v>
      </c>
      <c r="Q161" s="127">
        <v>52019488</v>
      </c>
      <c r="R161" s="42">
        <v>26523</v>
      </c>
      <c r="S161" s="42" t="s">
        <v>1124</v>
      </c>
      <c r="T161" s="125" t="s">
        <v>64</v>
      </c>
      <c r="U161" s="125" t="s">
        <v>65</v>
      </c>
      <c r="V161" s="39"/>
      <c r="W161" s="126">
        <v>106794</v>
      </c>
      <c r="X161" s="39" t="s">
        <v>632</v>
      </c>
      <c r="Y161" s="43">
        <v>45009</v>
      </c>
      <c r="Z161" s="39" t="s">
        <v>1125</v>
      </c>
      <c r="AA161" s="39"/>
      <c r="AB161" s="168" t="s">
        <v>68</v>
      </c>
      <c r="AC161" s="168" t="s">
        <v>69</v>
      </c>
      <c r="AD161" s="39" t="s">
        <v>1132</v>
      </c>
      <c r="AE161" s="39">
        <v>900365660</v>
      </c>
      <c r="AF161" s="39">
        <v>2</v>
      </c>
      <c r="AG161" s="39" t="s">
        <v>517</v>
      </c>
      <c r="AH161" s="39" t="s">
        <v>551</v>
      </c>
      <c r="AI161" s="39"/>
      <c r="AJ161" s="39"/>
      <c r="AK161" s="39" t="s">
        <v>517</v>
      </c>
      <c r="AL161" s="43" t="s">
        <v>517</v>
      </c>
      <c r="AM161" s="42">
        <v>62723</v>
      </c>
      <c r="AN161" s="43">
        <v>45013</v>
      </c>
      <c r="AO161" s="129">
        <v>1393024</v>
      </c>
      <c r="AP161" s="39"/>
      <c r="AQ161" s="45"/>
      <c r="AR161" s="39"/>
      <c r="AS161" s="129">
        <v>1393024</v>
      </c>
      <c r="AT161" s="39" t="s">
        <v>551</v>
      </c>
      <c r="AU161" s="125" t="s">
        <v>517</v>
      </c>
      <c r="AV161" s="127" t="s">
        <v>517</v>
      </c>
      <c r="AW161" s="43">
        <v>45009</v>
      </c>
      <c r="AX161" s="43">
        <v>45030</v>
      </c>
      <c r="AY161" s="125">
        <f t="shared" si="17"/>
        <v>21</v>
      </c>
      <c r="AZ161" s="41" t="s">
        <v>1127</v>
      </c>
      <c r="BA161" s="125">
        <v>22789760</v>
      </c>
      <c r="BB161" s="39"/>
      <c r="BC161" s="39"/>
      <c r="BD161" s="39"/>
      <c r="BE161" s="43"/>
      <c r="BF161" s="39"/>
      <c r="BG161" s="43"/>
      <c r="BH161" s="41"/>
      <c r="BI161" s="39"/>
      <c r="BJ161" s="127">
        <f t="shared" si="18"/>
        <v>1393024</v>
      </c>
      <c r="BK161" s="43"/>
      <c r="BL161" s="39"/>
      <c r="BM161" s="39"/>
      <c r="BN161" s="43"/>
      <c r="BO161" s="39"/>
      <c r="BP161" s="41"/>
      <c r="BQ161" s="43"/>
      <c r="BR161" s="39"/>
      <c r="BS161" s="43"/>
      <c r="BT161" s="125">
        <f t="shared" si="19"/>
        <v>21</v>
      </c>
      <c r="BU161" s="39"/>
      <c r="BV161" s="39"/>
    </row>
    <row r="162" spans="1:74" s="261" customFormat="1" ht="15" customHeight="1" x14ac:dyDescent="0.25">
      <c r="A162" s="258" t="s">
        <v>459</v>
      </c>
      <c r="B162" s="258" t="s">
        <v>460</v>
      </c>
      <c r="C162" s="259" t="s">
        <v>54</v>
      </c>
      <c r="D162" s="260">
        <v>194</v>
      </c>
      <c r="E162" s="260" t="s">
        <v>345</v>
      </c>
      <c r="F162" s="260" t="s">
        <v>968</v>
      </c>
      <c r="G162" s="267" t="s">
        <v>969</v>
      </c>
      <c r="H162" s="260" t="s">
        <v>769</v>
      </c>
      <c r="I162" s="263">
        <v>45013</v>
      </c>
      <c r="J162" s="260" t="s">
        <v>970</v>
      </c>
      <c r="K162" s="260"/>
      <c r="L162" s="260" t="s">
        <v>340</v>
      </c>
      <c r="M162" s="260" t="s">
        <v>971</v>
      </c>
      <c r="N162" s="266" t="s">
        <v>972</v>
      </c>
      <c r="O162" s="266" t="s">
        <v>973</v>
      </c>
      <c r="P162" s="266">
        <v>25000000</v>
      </c>
      <c r="Q162" s="266">
        <v>18789570</v>
      </c>
      <c r="R162" s="260">
        <v>31223</v>
      </c>
      <c r="S162" s="260" t="s">
        <v>974</v>
      </c>
      <c r="T162" s="260" t="s">
        <v>64</v>
      </c>
      <c r="U162" s="260" t="s">
        <v>65</v>
      </c>
      <c r="V162" s="260" t="s">
        <v>517</v>
      </c>
      <c r="W162" s="267" t="s">
        <v>1371</v>
      </c>
      <c r="X162" s="260" t="s">
        <v>1155</v>
      </c>
      <c r="Y162" s="267">
        <v>45044</v>
      </c>
      <c r="Z162" s="260" t="s">
        <v>929</v>
      </c>
      <c r="AA162" s="260"/>
      <c r="AB162" s="260" t="s">
        <v>1372</v>
      </c>
      <c r="AC162" s="260" t="s">
        <v>1373</v>
      </c>
      <c r="AD162" s="260" t="s">
        <v>1374</v>
      </c>
      <c r="AE162" s="260">
        <v>7546762</v>
      </c>
      <c r="AF162" s="260" t="s">
        <v>517</v>
      </c>
      <c r="AG162" s="260" t="s">
        <v>517</v>
      </c>
      <c r="AH162" s="260"/>
      <c r="AK162" s="260" t="s">
        <v>517</v>
      </c>
      <c r="AL162" s="268" t="s">
        <v>517</v>
      </c>
      <c r="AM162" s="260">
        <v>85123</v>
      </c>
      <c r="AN162" s="267">
        <v>45055</v>
      </c>
      <c r="AO162" s="266">
        <v>18789570</v>
      </c>
      <c r="AP162" s="260"/>
      <c r="AQ162" s="231"/>
      <c r="AR162" s="260"/>
      <c r="AS162" s="231">
        <v>18789570</v>
      </c>
      <c r="AT162" s="260" t="s">
        <v>477</v>
      </c>
      <c r="AU162" s="267">
        <v>45044</v>
      </c>
      <c r="AV162" s="267" t="s">
        <v>1398</v>
      </c>
      <c r="AW162" s="267">
        <v>45055</v>
      </c>
      <c r="AX162" s="267">
        <v>45291</v>
      </c>
      <c r="AY162" s="259">
        <f t="shared" si="17"/>
        <v>236</v>
      </c>
      <c r="AZ162" s="266" t="s">
        <v>1537</v>
      </c>
      <c r="BA162" s="268">
        <v>41057375</v>
      </c>
      <c r="BB162" s="266"/>
      <c r="BC162" s="267"/>
      <c r="BD162" s="260"/>
      <c r="BE162" s="267"/>
      <c r="BF162" s="260"/>
      <c r="BG162" s="267"/>
      <c r="BH162" s="266"/>
      <c r="BI162" s="267"/>
      <c r="BJ162" s="270" t="e">
        <f>([10]!Tabla1[[#This Row],[VALOR TOTAL CONTRATO + VF]]+[10]!Tabla1[[#This Row],[ADICION 1 ]]+[10]!Tabla1[[#This Row],[ADICION 2]]-[10]!Tabla1[[#This Row],[LIBERACION]])</f>
        <v>#VALUE!</v>
      </c>
      <c r="BK162" s="267"/>
      <c r="BL162" s="267"/>
      <c r="BM162" s="267"/>
      <c r="BN162" s="267"/>
      <c r="BO162" s="260"/>
      <c r="BP162" s="267"/>
      <c r="BQ162" s="267"/>
      <c r="BR162" s="266"/>
      <c r="BS162" s="267"/>
      <c r="BT162" s="260">
        <f t="shared" si="19"/>
        <v>236</v>
      </c>
      <c r="BU162" s="267"/>
      <c r="BV162" s="271"/>
    </row>
    <row r="163" spans="1:74" s="59" customFormat="1" ht="15" customHeight="1" x14ac:dyDescent="0.25">
      <c r="A163" s="159" t="s">
        <v>459</v>
      </c>
      <c r="B163" s="124" t="s">
        <v>460</v>
      </c>
      <c r="C163" s="125" t="s">
        <v>481</v>
      </c>
      <c r="D163" s="39">
        <v>128</v>
      </c>
      <c r="E163" s="39" t="s">
        <v>409</v>
      </c>
      <c r="F163" s="39" t="s">
        <v>1305</v>
      </c>
      <c r="G163" s="44">
        <v>148177</v>
      </c>
      <c r="H163" s="42" t="s">
        <v>769</v>
      </c>
      <c r="I163" s="43">
        <v>45013</v>
      </c>
      <c r="J163" s="39" t="s">
        <v>1120</v>
      </c>
      <c r="K163" s="39" t="s">
        <v>1121</v>
      </c>
      <c r="L163" s="125" t="s">
        <v>766</v>
      </c>
      <c r="M163" s="42" t="s">
        <v>1306</v>
      </c>
      <c r="N163" s="125">
        <v>76111501</v>
      </c>
      <c r="O163" s="327" t="s">
        <v>1138</v>
      </c>
      <c r="P163" s="131">
        <v>406829087</v>
      </c>
      <c r="Q163" s="131">
        <v>406829087</v>
      </c>
      <c r="R163" s="39">
        <v>28623</v>
      </c>
      <c r="S163" s="42" t="s">
        <v>1037</v>
      </c>
      <c r="T163" s="125" t="s">
        <v>64</v>
      </c>
      <c r="U163" s="125" t="s">
        <v>65</v>
      </c>
      <c r="V163" s="39"/>
      <c r="W163" s="126">
        <v>108112</v>
      </c>
      <c r="X163" s="39" t="s">
        <v>1248</v>
      </c>
      <c r="Y163" s="43">
        <v>45036</v>
      </c>
      <c r="Z163" s="39" t="s">
        <v>1249</v>
      </c>
      <c r="AA163" s="39"/>
      <c r="AB163" s="39" t="s">
        <v>1307</v>
      </c>
      <c r="AC163" s="39" t="s">
        <v>69</v>
      </c>
      <c r="AD163" s="132" t="s">
        <v>1274</v>
      </c>
      <c r="AE163" s="39">
        <v>901677020</v>
      </c>
      <c r="AF163" s="39">
        <v>1</v>
      </c>
      <c r="AG163" s="39" t="s">
        <v>517</v>
      </c>
      <c r="AH163" s="39"/>
      <c r="AI163" s="39"/>
      <c r="AJ163" s="39"/>
      <c r="AK163" s="39" t="s">
        <v>517</v>
      </c>
      <c r="AL163" s="43" t="s">
        <v>517</v>
      </c>
      <c r="AM163" s="42">
        <v>74923</v>
      </c>
      <c r="AN163" s="43">
        <v>45037</v>
      </c>
      <c r="AO163" s="129">
        <v>339572893.01999998</v>
      </c>
      <c r="AP163" s="39"/>
      <c r="AQ163" s="45"/>
      <c r="AR163" s="39"/>
      <c r="AS163" s="176">
        <f>SUM(AO163+AP163+AQ163+AR163)</f>
        <v>339572893.01999998</v>
      </c>
      <c r="AT163" s="39" t="s">
        <v>297</v>
      </c>
      <c r="AU163" s="43">
        <v>45041</v>
      </c>
      <c r="AV163" s="125" t="s">
        <v>74</v>
      </c>
      <c r="AW163" s="43">
        <v>45036</v>
      </c>
      <c r="AX163" s="43">
        <v>45291</v>
      </c>
      <c r="AY163" s="125">
        <f>(AX163-AW163)</f>
        <v>255</v>
      </c>
      <c r="AZ163" s="133" t="s">
        <v>1308</v>
      </c>
      <c r="BA163" s="125">
        <v>52199365</v>
      </c>
      <c r="BB163" s="39"/>
      <c r="BC163" s="39"/>
      <c r="BD163" s="39"/>
      <c r="BE163" s="43"/>
      <c r="BF163" s="39"/>
      <c r="BG163" s="43"/>
      <c r="BH163" s="41"/>
      <c r="BI163" s="39"/>
      <c r="BJ163" s="127">
        <f>SUM(AS163+BB163+BD163+BF163-BH163)</f>
        <v>339572893.01999998</v>
      </c>
      <c r="BK163" s="43"/>
      <c r="BL163" s="39"/>
      <c r="BM163" s="39"/>
      <c r="BN163" s="43"/>
      <c r="BO163" s="39"/>
      <c r="BP163" s="41"/>
      <c r="BQ163" s="43"/>
      <c r="BR163" s="39"/>
      <c r="BS163" s="43"/>
      <c r="BT163" s="39">
        <f>SUM(AY163+BK163+BN163+BQ163)</f>
        <v>255</v>
      </c>
      <c r="BU163" s="39"/>
      <c r="BV163" s="39"/>
    </row>
    <row r="164" spans="1:74" s="59" customFormat="1" ht="15" customHeight="1" x14ac:dyDescent="0.25">
      <c r="A164" s="161" t="s">
        <v>459</v>
      </c>
      <c r="B164" s="74" t="s">
        <v>460</v>
      </c>
      <c r="C164" s="76" t="s">
        <v>54</v>
      </c>
      <c r="D164" s="76">
        <v>39</v>
      </c>
      <c r="E164" s="169" t="s">
        <v>1178</v>
      </c>
      <c r="F164" s="76" t="s">
        <v>772</v>
      </c>
      <c r="G164" s="79" t="s">
        <v>773</v>
      </c>
      <c r="H164" s="76" t="s">
        <v>769</v>
      </c>
      <c r="I164" s="162">
        <v>45014</v>
      </c>
      <c r="J164" s="76" t="s">
        <v>59</v>
      </c>
      <c r="K164" s="79" t="s">
        <v>330</v>
      </c>
      <c r="L164" s="79" t="s">
        <v>250</v>
      </c>
      <c r="M164" s="76" t="s">
        <v>774</v>
      </c>
      <c r="N164" s="79">
        <v>82111904</v>
      </c>
      <c r="O164" s="79" t="s">
        <v>775</v>
      </c>
      <c r="P164" s="152">
        <v>950000</v>
      </c>
      <c r="Q164" s="152">
        <v>838000</v>
      </c>
      <c r="R164" s="79">
        <v>30023</v>
      </c>
      <c r="S164" s="79" t="s">
        <v>776</v>
      </c>
      <c r="T164" s="170" t="s">
        <v>64</v>
      </c>
      <c r="U164" s="170" t="s">
        <v>1193</v>
      </c>
      <c r="V164" s="79"/>
      <c r="W164" s="79" t="s">
        <v>1378</v>
      </c>
      <c r="X164" s="170" t="s">
        <v>1195</v>
      </c>
      <c r="Y164" s="78">
        <v>45035</v>
      </c>
      <c r="Z164" s="79" t="s">
        <v>1379</v>
      </c>
      <c r="AA164" s="79"/>
      <c r="AB164" s="79" t="s">
        <v>68</v>
      </c>
      <c r="AC164" s="79" t="s">
        <v>1380</v>
      </c>
      <c r="AD164" s="79" t="s">
        <v>1381</v>
      </c>
      <c r="AE164" s="79" t="s">
        <v>1382</v>
      </c>
      <c r="AF164" s="79"/>
      <c r="AG164" s="79"/>
      <c r="AH164" s="79"/>
      <c r="AI164" s="76"/>
      <c r="AJ164" s="76"/>
      <c r="AK164" s="79"/>
      <c r="AL164" s="163"/>
      <c r="AM164" s="79">
        <v>74823</v>
      </c>
      <c r="AN164" s="151">
        <v>45037</v>
      </c>
      <c r="AO164" s="170">
        <v>838000</v>
      </c>
      <c r="AP164" s="79"/>
      <c r="AQ164" s="79"/>
      <c r="AR164" s="79"/>
      <c r="AS164" s="170">
        <v>838000</v>
      </c>
      <c r="AT164" s="79" t="s">
        <v>551</v>
      </c>
      <c r="AU164" s="151"/>
      <c r="AV164" s="79"/>
      <c r="AW164" s="151">
        <v>45031</v>
      </c>
      <c r="AX164" s="151">
        <v>45397</v>
      </c>
      <c r="AY164" s="76">
        <f t="shared" ref="AY164" si="20">(AX164-AW164)</f>
        <v>366</v>
      </c>
      <c r="AZ164" s="79" t="s">
        <v>178</v>
      </c>
      <c r="BA164" s="170">
        <v>393757630</v>
      </c>
      <c r="BB164" s="152"/>
      <c r="BC164" s="151"/>
      <c r="BD164" s="79"/>
      <c r="BE164" s="79"/>
      <c r="BF164" s="79"/>
      <c r="BG164" s="151"/>
      <c r="BH164" s="79"/>
      <c r="BI164" s="151"/>
      <c r="BJ164" s="170">
        <v>838000</v>
      </c>
      <c r="BK164" s="79"/>
      <c r="BL164" s="151"/>
      <c r="BM164" s="151"/>
      <c r="BN164" s="79"/>
      <c r="BO164" s="79"/>
      <c r="BP164" s="151"/>
      <c r="BQ164" s="79"/>
      <c r="BR164" s="152"/>
      <c r="BS164" s="151"/>
      <c r="BT164" s="79"/>
      <c r="BU164" s="151"/>
      <c r="BV164" s="79"/>
    </row>
    <row r="165" spans="1:74" s="59" customFormat="1" ht="15" customHeight="1" x14ac:dyDescent="0.25">
      <c r="A165" s="158" t="s">
        <v>459</v>
      </c>
      <c r="B165" s="37" t="s">
        <v>460</v>
      </c>
      <c r="C165" s="39" t="s">
        <v>54</v>
      </c>
      <c r="D165" s="42">
        <v>258</v>
      </c>
      <c r="E165" s="39" t="s">
        <v>221</v>
      </c>
      <c r="F165" s="42" t="s">
        <v>859</v>
      </c>
      <c r="G165" s="55" t="s">
        <v>860</v>
      </c>
      <c r="H165" s="42" t="s">
        <v>769</v>
      </c>
      <c r="I165" s="71">
        <v>45014</v>
      </c>
      <c r="J165" s="42" t="s">
        <v>847</v>
      </c>
      <c r="K165" s="42" t="s">
        <v>861</v>
      </c>
      <c r="L165" s="42" t="s">
        <v>839</v>
      </c>
      <c r="M165" s="39" t="s">
        <v>862</v>
      </c>
      <c r="N165" s="50" t="s">
        <v>863</v>
      </c>
      <c r="O165" s="50" t="s">
        <v>864</v>
      </c>
      <c r="P165" s="50">
        <v>110000000</v>
      </c>
      <c r="Q165" s="50">
        <v>110000000</v>
      </c>
      <c r="R165" s="42">
        <v>29923</v>
      </c>
      <c r="S165" s="42" t="s">
        <v>865</v>
      </c>
      <c r="T165" s="39" t="s">
        <v>516</v>
      </c>
      <c r="U165" s="39" t="s">
        <v>517</v>
      </c>
      <c r="V165" s="42"/>
      <c r="W165" s="55"/>
      <c r="X165" s="42"/>
      <c r="Y165" s="55"/>
      <c r="Z165" s="42"/>
      <c r="AA165" s="42"/>
      <c r="AB165" s="42"/>
      <c r="AC165" s="42"/>
      <c r="AD165" s="42"/>
      <c r="AE165" s="42"/>
      <c r="AF165" s="42"/>
      <c r="AG165" s="42"/>
      <c r="AH165" s="42"/>
      <c r="AI165" s="39"/>
      <c r="AJ165" s="39"/>
      <c r="AK165" s="43"/>
      <c r="AL165" s="52" t="e">
        <f ca="1">+YEAR(TODAY())-YEAR([3]!Tabla1[[#This Row],[FECHA DE NACIMIENTO]])</f>
        <v>#REF!</v>
      </c>
      <c r="AM165" s="39"/>
      <c r="AN165" s="68"/>
      <c r="AO165" s="50"/>
      <c r="AP165" s="42"/>
      <c r="AQ165" s="53"/>
      <c r="AR165" s="42"/>
      <c r="AS165" s="122"/>
      <c r="AT165" s="42"/>
      <c r="AU165" s="55"/>
      <c r="AV165" s="55"/>
      <c r="AW165" s="55"/>
      <c r="AX165" s="68"/>
      <c r="AY165" s="39">
        <f>(AX165-AW165)</f>
        <v>0</v>
      </c>
      <c r="AZ165" s="50"/>
      <c r="BA165" s="39"/>
      <c r="BB165" s="50"/>
      <c r="BC165" s="55"/>
      <c r="BD165" s="42"/>
      <c r="BE165" s="55"/>
      <c r="BF165" s="42"/>
      <c r="BG165" s="55"/>
      <c r="BH165" s="50"/>
      <c r="BI165" s="55"/>
      <c r="BJ165" s="50"/>
      <c r="BK165" s="55"/>
      <c r="BL165" s="55"/>
      <c r="BM165" s="55"/>
      <c r="BN165" s="55"/>
      <c r="BO165" s="42"/>
      <c r="BP165" s="55"/>
      <c r="BQ165" s="55"/>
      <c r="BR165" s="50"/>
      <c r="BS165" s="55"/>
      <c r="BT165" s="42"/>
      <c r="BU165" s="55"/>
      <c r="BV165" s="42"/>
    </row>
    <row r="166" spans="1:74" ht="15" customHeight="1" x14ac:dyDescent="0.25">
      <c r="A166" s="158" t="s">
        <v>459</v>
      </c>
      <c r="B166" s="37" t="s">
        <v>460</v>
      </c>
      <c r="C166" s="39" t="s">
        <v>54</v>
      </c>
      <c r="D166" s="42">
        <v>79</v>
      </c>
      <c r="E166" s="42" t="s">
        <v>345</v>
      </c>
      <c r="F166" s="42" t="s">
        <v>962</v>
      </c>
      <c r="G166" s="55" t="s">
        <v>963</v>
      </c>
      <c r="H166" s="42" t="s">
        <v>769</v>
      </c>
      <c r="I166" s="71">
        <v>45014</v>
      </c>
      <c r="J166" s="42" t="s">
        <v>1104</v>
      </c>
      <c r="K166" s="39" t="s">
        <v>493</v>
      </c>
      <c r="L166" s="42" t="s">
        <v>964</v>
      </c>
      <c r="M166" s="42" t="s">
        <v>965</v>
      </c>
      <c r="N166" s="50" t="s">
        <v>966</v>
      </c>
      <c r="O166" s="50" t="s">
        <v>967</v>
      </c>
      <c r="P166" s="50">
        <v>433440000</v>
      </c>
      <c r="Q166" s="50">
        <v>432832203</v>
      </c>
      <c r="R166" s="42">
        <v>27523</v>
      </c>
      <c r="S166" s="42" t="s">
        <v>903</v>
      </c>
      <c r="T166" s="42" t="s">
        <v>516</v>
      </c>
      <c r="U166" s="42"/>
      <c r="V166" s="42"/>
      <c r="W166" s="55"/>
      <c r="X166" s="42"/>
      <c r="Y166" s="55"/>
      <c r="Z166" s="42"/>
      <c r="AA166" s="42"/>
      <c r="AB166" s="42"/>
      <c r="AC166" s="42"/>
      <c r="AD166" s="42"/>
      <c r="AE166" s="42"/>
      <c r="AF166" s="42"/>
      <c r="AG166" s="42"/>
      <c r="AH166" s="42"/>
      <c r="AI166" s="39"/>
      <c r="AJ166" s="39"/>
      <c r="AK166" s="42"/>
      <c r="AL166" s="52" t="e">
        <f ca="1">+YEAR(TODAY())-YEAR([8]!Tabla1[[#This Row],[FECHA DE NACIMIENTO]])</f>
        <v>#REF!</v>
      </c>
      <c r="AM166" s="50"/>
      <c r="AN166" s="55"/>
      <c r="AO166" s="50"/>
      <c r="AP166" s="42"/>
      <c r="AQ166" s="53"/>
      <c r="AR166" s="42"/>
      <c r="AS166" s="53"/>
      <c r="AT166" s="42"/>
      <c r="AU166" s="55"/>
      <c r="AV166" s="55"/>
      <c r="AW166" s="55"/>
      <c r="AX166" s="55"/>
      <c r="AY166" s="39">
        <f>(AX166-AW166)</f>
        <v>0</v>
      </c>
      <c r="AZ166" s="50"/>
      <c r="BA166" s="55"/>
      <c r="BB166" s="50"/>
      <c r="BC166" s="55"/>
      <c r="BD166" s="42"/>
      <c r="BE166" s="55"/>
      <c r="BF166" s="42"/>
      <c r="BG166" s="55"/>
      <c r="BH166" s="50"/>
      <c r="BI166" s="55"/>
      <c r="BJ166" s="50"/>
      <c r="BK166" s="55"/>
      <c r="BL166" s="55"/>
      <c r="BM166" s="55"/>
      <c r="BN166" s="55"/>
      <c r="BO166" s="42"/>
      <c r="BP166" s="55"/>
      <c r="BQ166" s="55"/>
      <c r="BR166" s="50"/>
      <c r="BS166" s="55"/>
      <c r="BT166" s="42"/>
      <c r="BU166" s="55"/>
      <c r="BV166" s="54"/>
    </row>
    <row r="167" spans="1:74" s="76" customFormat="1" ht="15" customHeight="1" x14ac:dyDescent="0.25">
      <c r="A167" s="74" t="s">
        <v>459</v>
      </c>
      <c r="B167" s="74" t="s">
        <v>460</v>
      </c>
      <c r="C167" s="75" t="s">
        <v>54</v>
      </c>
      <c r="D167" s="79" t="s">
        <v>975</v>
      </c>
      <c r="E167" s="79" t="s">
        <v>345</v>
      </c>
      <c r="F167" s="79" t="s">
        <v>976</v>
      </c>
      <c r="G167" s="151" t="s">
        <v>977</v>
      </c>
      <c r="H167" s="79" t="s">
        <v>769</v>
      </c>
      <c r="I167" s="162">
        <v>45014</v>
      </c>
      <c r="J167" s="79" t="s">
        <v>59</v>
      </c>
      <c r="K167" s="79" t="s">
        <v>943</v>
      </c>
      <c r="L167" s="79" t="s">
        <v>978</v>
      </c>
      <c r="M167" s="79" t="s">
        <v>979</v>
      </c>
      <c r="N167" s="79">
        <v>90121502</v>
      </c>
      <c r="O167" s="152" t="s">
        <v>980</v>
      </c>
      <c r="P167" s="152">
        <v>1036000000</v>
      </c>
      <c r="Q167" s="152">
        <v>1036000000</v>
      </c>
      <c r="R167" s="79">
        <v>30523</v>
      </c>
      <c r="S167" s="79" t="s">
        <v>981</v>
      </c>
      <c r="T167" s="79" t="s">
        <v>64</v>
      </c>
      <c r="U167" s="79" t="s">
        <v>65</v>
      </c>
      <c r="V167" s="79" t="s">
        <v>517</v>
      </c>
      <c r="W167" s="151" t="s">
        <v>1375</v>
      </c>
      <c r="X167" s="79" t="s">
        <v>1155</v>
      </c>
      <c r="Y167" s="151">
        <v>45029</v>
      </c>
      <c r="Z167" s="79" t="s">
        <v>948</v>
      </c>
      <c r="AA167" s="79"/>
      <c r="AB167" s="79" t="s">
        <v>295</v>
      </c>
      <c r="AC167" s="79" t="s">
        <v>69</v>
      </c>
      <c r="AD167" s="79" t="s">
        <v>1376</v>
      </c>
      <c r="AE167" s="79">
        <v>899999143</v>
      </c>
      <c r="AF167" s="79">
        <v>4</v>
      </c>
      <c r="AG167" s="79" t="s">
        <v>517</v>
      </c>
      <c r="AH167" s="79"/>
      <c r="AK167" s="79" t="s">
        <v>517</v>
      </c>
      <c r="AL167" s="163" t="s">
        <v>517</v>
      </c>
      <c r="AM167" s="79">
        <v>69823</v>
      </c>
      <c r="AN167" s="151">
        <v>45029</v>
      </c>
      <c r="AO167" s="152">
        <v>1036000000</v>
      </c>
      <c r="AP167" s="79"/>
      <c r="AQ167" s="153"/>
      <c r="AR167" s="79"/>
      <c r="AS167" s="153">
        <v>1036000000</v>
      </c>
      <c r="AT167" s="79" t="s">
        <v>478</v>
      </c>
      <c r="AU167" s="151">
        <v>1</v>
      </c>
      <c r="AV167" s="151" t="s">
        <v>517</v>
      </c>
      <c r="AW167" s="151">
        <v>45029</v>
      </c>
      <c r="AX167" s="151">
        <v>45291</v>
      </c>
      <c r="AY167" s="75">
        <f t="shared" ref="AY167" si="21">(AX167-AW167)</f>
        <v>262</v>
      </c>
      <c r="AZ167" s="152" t="s">
        <v>1377</v>
      </c>
      <c r="BA167" s="79">
        <v>52853481</v>
      </c>
      <c r="BB167" s="152"/>
      <c r="BC167" s="151"/>
      <c r="BD167" s="79"/>
      <c r="BE167" s="151"/>
      <c r="BF167" s="79"/>
      <c r="BG167" s="151"/>
      <c r="BH167" s="152"/>
      <c r="BI167" s="151"/>
      <c r="BJ167" s="152"/>
      <c r="BK167" s="151"/>
      <c r="BL167" s="151"/>
      <c r="BM167" s="151"/>
      <c r="BN167" s="151"/>
      <c r="BO167" s="79"/>
      <c r="BP167" s="151"/>
      <c r="BQ167" s="151"/>
      <c r="BR167" s="152"/>
      <c r="BS167" s="151"/>
      <c r="BT167" s="79"/>
      <c r="BU167" s="151"/>
      <c r="BV167" s="189"/>
    </row>
    <row r="168" spans="1:74" s="59" customFormat="1" ht="15" customHeight="1" x14ac:dyDescent="0.25">
      <c r="A168" s="159" t="s">
        <v>459</v>
      </c>
      <c r="B168" s="124" t="s">
        <v>460</v>
      </c>
      <c r="C168" s="125" t="s">
        <v>481</v>
      </c>
      <c r="D168" s="39">
        <v>142</v>
      </c>
      <c r="E168" s="39" t="s">
        <v>409</v>
      </c>
      <c r="F168" s="39" t="s">
        <v>1151</v>
      </c>
      <c r="G168" s="44">
        <v>147536</v>
      </c>
      <c r="H168" s="42" t="s">
        <v>769</v>
      </c>
      <c r="I168" s="43">
        <v>45014</v>
      </c>
      <c r="J168" s="39" t="s">
        <v>1120</v>
      </c>
      <c r="K168" s="39" t="s">
        <v>1121</v>
      </c>
      <c r="L168" s="125" t="s">
        <v>766</v>
      </c>
      <c r="M168" s="42" t="s">
        <v>1257</v>
      </c>
      <c r="N168" s="125">
        <v>76111501</v>
      </c>
      <c r="O168" s="135" t="s">
        <v>1138</v>
      </c>
      <c r="P168" s="131">
        <v>24865357</v>
      </c>
      <c r="Q168" s="131">
        <v>24865357</v>
      </c>
      <c r="R168" s="39">
        <v>28623</v>
      </c>
      <c r="S168" s="42" t="s">
        <v>1037</v>
      </c>
      <c r="T168" s="125" t="s">
        <v>1342</v>
      </c>
      <c r="U168" s="125"/>
      <c r="V168" s="39" t="s">
        <v>1343</v>
      </c>
      <c r="W168" s="126"/>
      <c r="X168" s="39"/>
      <c r="Y168" s="43"/>
      <c r="Z168" s="39"/>
      <c r="AA168" s="39"/>
      <c r="AB168" s="39"/>
      <c r="AC168" s="39"/>
      <c r="AD168" s="132"/>
      <c r="AE168" s="39"/>
      <c r="AF168" s="39"/>
      <c r="AG168" s="39"/>
      <c r="AH168" s="39"/>
      <c r="AI168" s="39"/>
      <c r="AJ168" s="39"/>
      <c r="AK168" s="39" t="s">
        <v>517</v>
      </c>
      <c r="AL168" s="43" t="s">
        <v>517</v>
      </c>
      <c r="AM168" s="42"/>
      <c r="AN168" s="39"/>
      <c r="AO168" s="175" t="s">
        <v>1258</v>
      </c>
      <c r="AP168" s="39"/>
      <c r="AQ168" s="45"/>
      <c r="AR168" s="39"/>
      <c r="AS168" s="176" t="e">
        <f>SUM(AO168+AP168+AQ168+AR168)</f>
        <v>#VALUE!</v>
      </c>
      <c r="AT168" s="39"/>
      <c r="AU168" s="171" t="s">
        <v>1253</v>
      </c>
      <c r="AV168" s="125" t="s">
        <v>74</v>
      </c>
      <c r="AW168" s="43"/>
      <c r="AX168" s="43"/>
      <c r="AY168" s="125">
        <f>(AX168-AW168)</f>
        <v>0</v>
      </c>
      <c r="AZ168" s="172"/>
      <c r="BA168" s="43"/>
      <c r="BB168" s="39"/>
      <c r="BC168" s="39"/>
      <c r="BD168" s="39"/>
      <c r="BE168" s="43"/>
      <c r="BF168" s="39"/>
      <c r="BG168" s="43"/>
      <c r="BH168" s="41"/>
      <c r="BI168" s="39"/>
      <c r="BJ168" s="127" t="e">
        <f>SUM(AS168+BB168+BD168+BF168-BH168)</f>
        <v>#VALUE!</v>
      </c>
      <c r="BK168" s="43"/>
      <c r="BL168" s="39"/>
      <c r="BM168" s="39"/>
      <c r="BN168" s="43"/>
      <c r="BO168" s="39"/>
      <c r="BP168" s="41"/>
      <c r="BQ168" s="43"/>
      <c r="BR168" s="39"/>
      <c r="BS168" s="43"/>
      <c r="BT168" s="39">
        <f>SUM(AY168+BK168+BN168+BQ168)</f>
        <v>0</v>
      </c>
      <c r="BU168" s="39"/>
      <c r="BV168" s="39"/>
    </row>
    <row r="169" spans="1:74" s="59" customFormat="1" ht="15" customHeight="1" x14ac:dyDescent="0.25">
      <c r="A169" s="161" t="s">
        <v>459</v>
      </c>
      <c r="B169" s="74" t="s">
        <v>460</v>
      </c>
      <c r="C169" s="76" t="s">
        <v>54</v>
      </c>
      <c r="D169" s="76">
        <v>168</v>
      </c>
      <c r="E169" s="169" t="s">
        <v>1178</v>
      </c>
      <c r="F169" s="76" t="s">
        <v>793</v>
      </c>
      <c r="G169" s="79" t="s">
        <v>794</v>
      </c>
      <c r="H169" s="76" t="s">
        <v>769</v>
      </c>
      <c r="I169" s="162">
        <v>45015</v>
      </c>
      <c r="J169" s="76" t="s">
        <v>492</v>
      </c>
      <c r="K169" s="76" t="s">
        <v>795</v>
      </c>
      <c r="L169" s="79" t="s">
        <v>340</v>
      </c>
      <c r="M169" s="76" t="s">
        <v>796</v>
      </c>
      <c r="N169" s="79">
        <v>92121500</v>
      </c>
      <c r="O169" s="79" t="s">
        <v>797</v>
      </c>
      <c r="P169" s="152">
        <v>10994809613</v>
      </c>
      <c r="Q169" s="152">
        <v>10222636747</v>
      </c>
      <c r="R169" s="79" t="s">
        <v>798</v>
      </c>
      <c r="S169" s="79" t="s">
        <v>799</v>
      </c>
      <c r="T169" s="76" t="s">
        <v>448</v>
      </c>
      <c r="U169" s="79" t="s">
        <v>1193</v>
      </c>
      <c r="V169" s="79"/>
      <c r="W169" s="79" t="s">
        <v>1383</v>
      </c>
      <c r="X169" s="79" t="s">
        <v>1195</v>
      </c>
      <c r="Y169" s="78">
        <v>45028</v>
      </c>
      <c r="Z169" s="79" t="s">
        <v>1384</v>
      </c>
      <c r="AA169" s="79"/>
      <c r="AB169" s="79" t="s">
        <v>68</v>
      </c>
      <c r="AC169" s="170" t="s">
        <v>1196</v>
      </c>
      <c r="AD169" s="79" t="s">
        <v>1385</v>
      </c>
      <c r="AE169" s="173" t="s">
        <v>1386</v>
      </c>
      <c r="AF169" s="79"/>
      <c r="AG169" s="79"/>
      <c r="AH169" s="79"/>
      <c r="AI169" s="76"/>
      <c r="AJ169" s="76"/>
      <c r="AK169" s="79"/>
      <c r="AL169" s="163"/>
      <c r="AM169" s="79" t="s">
        <v>1387</v>
      </c>
      <c r="AN169" s="151">
        <v>45044</v>
      </c>
      <c r="AO169" s="170">
        <v>5122000000</v>
      </c>
      <c r="AP169" s="79">
        <v>4982000000</v>
      </c>
      <c r="AQ169" s="79"/>
      <c r="AR169" s="79"/>
      <c r="AS169" s="170">
        <v>10104000000</v>
      </c>
      <c r="AT169" s="79" t="s">
        <v>297</v>
      </c>
      <c r="AU169" s="151">
        <v>45044</v>
      </c>
      <c r="AV169" s="79" t="s">
        <v>1199</v>
      </c>
      <c r="AW169" s="151">
        <v>45047</v>
      </c>
      <c r="AX169" s="151">
        <v>45473</v>
      </c>
      <c r="AY169" s="76">
        <f t="shared" ref="AY169" si="22">(AX169-AW169)</f>
        <v>426</v>
      </c>
      <c r="AZ169" s="79" t="s">
        <v>1388</v>
      </c>
      <c r="BA169" s="170">
        <v>52808564</v>
      </c>
      <c r="BB169" s="152"/>
      <c r="BC169" s="151"/>
      <c r="BD169" s="79"/>
      <c r="BE169" s="79"/>
      <c r="BF169" s="79"/>
      <c r="BG169" s="151"/>
      <c r="BH169" s="79"/>
      <c r="BI169" s="151"/>
      <c r="BJ169" s="170">
        <v>10104000000</v>
      </c>
      <c r="BK169" s="79"/>
      <c r="BL169" s="151"/>
      <c r="BM169" s="151"/>
      <c r="BN169" s="79"/>
      <c r="BO169" s="79"/>
      <c r="BP169" s="151"/>
      <c r="BQ169" s="79"/>
      <c r="BR169" s="152"/>
      <c r="BS169" s="151"/>
      <c r="BT169" s="79"/>
      <c r="BU169" s="151"/>
      <c r="BV169" s="79"/>
    </row>
    <row r="170" spans="1:74" s="59" customFormat="1" ht="15" customHeight="1" x14ac:dyDescent="0.25">
      <c r="A170" s="158" t="s">
        <v>459</v>
      </c>
      <c r="B170" s="37" t="s">
        <v>460</v>
      </c>
      <c r="C170" s="39" t="s">
        <v>54</v>
      </c>
      <c r="D170" s="39">
        <v>34</v>
      </c>
      <c r="E170" s="39" t="s">
        <v>55</v>
      </c>
      <c r="F170" s="39" t="s">
        <v>767</v>
      </c>
      <c r="G170" s="42" t="s">
        <v>768</v>
      </c>
      <c r="H170" s="39" t="s">
        <v>769</v>
      </c>
      <c r="I170" s="71">
        <v>45016</v>
      </c>
      <c r="J170" s="39" t="s">
        <v>492</v>
      </c>
      <c r="K170" s="42" t="s">
        <v>730</v>
      </c>
      <c r="L170" s="42" t="s">
        <v>250</v>
      </c>
      <c r="M170" s="39" t="s">
        <v>770</v>
      </c>
      <c r="N170" s="42">
        <v>82111902</v>
      </c>
      <c r="O170" s="42" t="s">
        <v>771</v>
      </c>
      <c r="P170" s="50">
        <v>70000000</v>
      </c>
      <c r="Q170" s="50">
        <v>50677075</v>
      </c>
      <c r="R170" s="42">
        <v>22923</v>
      </c>
      <c r="S170" s="42" t="s">
        <v>63</v>
      </c>
      <c r="T170" s="39" t="s">
        <v>133</v>
      </c>
      <c r="U170" s="42"/>
      <c r="V170" s="42"/>
      <c r="W170" s="42"/>
      <c r="X170" s="42"/>
      <c r="Y170" s="40"/>
      <c r="Z170" s="42"/>
      <c r="AA170" s="42"/>
      <c r="AB170" s="42"/>
      <c r="AC170" s="42"/>
      <c r="AD170" s="42"/>
      <c r="AE170" s="42"/>
      <c r="AF170" s="42"/>
      <c r="AG170" s="42"/>
      <c r="AH170" s="42"/>
      <c r="AI170" s="39"/>
      <c r="AJ170" s="39"/>
      <c r="AK170" s="42"/>
      <c r="AL170" s="52">
        <f ca="1">+YEAR(TODAY())-YEAR(Tabla13[[#This Row],[FECHA DE NACIMIENTO]])</f>
        <v>123</v>
      </c>
      <c r="AM170" s="42"/>
      <c r="AN170" s="55"/>
      <c r="AO170" s="50"/>
      <c r="AP170" s="42"/>
      <c r="AQ170" s="42"/>
      <c r="AR170" s="42"/>
      <c r="AS170" s="45">
        <f>SUM(AO170+AP170+AQ170+AR170)</f>
        <v>0</v>
      </c>
      <c r="AT170" s="42"/>
      <c r="AU170" s="55"/>
      <c r="AV170" s="42"/>
      <c r="AW170" s="55"/>
      <c r="AX170" s="55"/>
      <c r="AY170" s="39">
        <f>(AX170-AW170)</f>
        <v>0</v>
      </c>
      <c r="AZ170" s="42"/>
      <c r="BA170" s="42"/>
      <c r="BB170" s="50"/>
      <c r="BC170" s="55"/>
      <c r="BD170" s="42"/>
      <c r="BE170" s="42"/>
      <c r="BF170" s="42"/>
      <c r="BG170" s="55"/>
      <c r="BH170" s="42"/>
      <c r="BI170" s="55"/>
      <c r="BJ170" s="50"/>
      <c r="BK170" s="42"/>
      <c r="BL170" s="55"/>
      <c r="BM170" s="55"/>
      <c r="BN170" s="42"/>
      <c r="BO170" s="42"/>
      <c r="BP170" s="55"/>
      <c r="BQ170" s="42"/>
      <c r="BR170" s="50"/>
      <c r="BS170" s="55"/>
      <c r="BT170" s="42"/>
      <c r="BU170" s="55"/>
      <c r="BV170" s="42"/>
    </row>
    <row r="171" spans="1:74" s="59" customFormat="1" ht="15" customHeight="1" x14ac:dyDescent="0.25">
      <c r="A171" s="158" t="s">
        <v>459</v>
      </c>
      <c r="B171" s="37" t="s">
        <v>460</v>
      </c>
      <c r="C171" s="39" t="s">
        <v>54</v>
      </c>
      <c r="D171" s="39">
        <v>82</v>
      </c>
      <c r="E171" s="39" t="s">
        <v>55</v>
      </c>
      <c r="F171" s="39" t="s">
        <v>784</v>
      </c>
      <c r="G171" s="42" t="s">
        <v>785</v>
      </c>
      <c r="H171" s="39" t="s">
        <v>769</v>
      </c>
      <c r="I171" s="71">
        <v>45016</v>
      </c>
      <c r="J171" s="39" t="s">
        <v>492</v>
      </c>
      <c r="K171" s="39" t="s">
        <v>493</v>
      </c>
      <c r="L171" s="42" t="s">
        <v>225</v>
      </c>
      <c r="M171" s="39" t="s">
        <v>786</v>
      </c>
      <c r="N171" s="42">
        <v>81111500</v>
      </c>
      <c r="O171" s="42" t="s">
        <v>787</v>
      </c>
      <c r="P171" s="50">
        <v>1539604000</v>
      </c>
      <c r="Q171" s="50">
        <v>1409169015</v>
      </c>
      <c r="R171" s="42">
        <v>30823</v>
      </c>
      <c r="S171" s="42" t="s">
        <v>89</v>
      </c>
      <c r="T171" s="39" t="s">
        <v>448</v>
      </c>
      <c r="U171" s="42"/>
      <c r="V171" s="42"/>
      <c r="W171" s="42"/>
      <c r="X171" s="42"/>
      <c r="Y171" s="40"/>
      <c r="Z171" s="42"/>
      <c r="AA171" s="42"/>
      <c r="AB171" s="42"/>
      <c r="AC171" s="42"/>
      <c r="AD171" s="42"/>
      <c r="AE171" s="42"/>
      <c r="AF171" s="42"/>
      <c r="AG171" s="42"/>
      <c r="AH171" s="42"/>
      <c r="AI171" s="39"/>
      <c r="AJ171" s="39"/>
      <c r="AK171" s="42"/>
      <c r="AL171" s="52">
        <f ca="1">+YEAR(TODAY())-YEAR(Tabla13[[#This Row],[FECHA DE NACIMIENTO]])</f>
        <v>123</v>
      </c>
      <c r="AM171" s="42"/>
      <c r="AN171" s="55"/>
      <c r="AO171" s="50"/>
      <c r="AP171" s="42"/>
      <c r="AQ171" s="42"/>
      <c r="AR171" s="42"/>
      <c r="AS171" s="122"/>
      <c r="AT171" s="42"/>
      <c r="AU171" s="55"/>
      <c r="AV171" s="42"/>
      <c r="AW171" s="55"/>
      <c r="AX171" s="55"/>
      <c r="AY171" s="39">
        <f>(AX171-AW171)</f>
        <v>0</v>
      </c>
      <c r="AZ171" s="42"/>
      <c r="BA171" s="42"/>
      <c r="BB171" s="50"/>
      <c r="BC171" s="55"/>
      <c r="BD171" s="42"/>
      <c r="BE171" s="42"/>
      <c r="BF171" s="42"/>
      <c r="BG171" s="55"/>
      <c r="BH171" s="42"/>
      <c r="BI171" s="55"/>
      <c r="BJ171" s="50"/>
      <c r="BK171" s="42"/>
      <c r="BL171" s="55"/>
      <c r="BM171" s="55"/>
      <c r="BN171" s="42"/>
      <c r="BO171" s="42"/>
      <c r="BP171" s="55"/>
      <c r="BQ171" s="42"/>
      <c r="BR171" s="50"/>
      <c r="BS171" s="55"/>
      <c r="BT171" s="42"/>
      <c r="BU171" s="55"/>
      <c r="BV171" s="42"/>
    </row>
    <row r="172" spans="1:74" ht="15" customHeight="1" x14ac:dyDescent="0.25">
      <c r="A172" s="158" t="s">
        <v>459</v>
      </c>
      <c r="B172" s="37" t="s">
        <v>460</v>
      </c>
      <c r="C172" s="39" t="s">
        <v>54</v>
      </c>
      <c r="D172" s="39">
        <v>231</v>
      </c>
      <c r="E172" s="39" t="s">
        <v>55</v>
      </c>
      <c r="F172" s="39" t="s">
        <v>801</v>
      </c>
      <c r="G172" s="42" t="s">
        <v>800</v>
      </c>
      <c r="H172" s="39" t="s">
        <v>769</v>
      </c>
      <c r="I172" s="71">
        <v>45016</v>
      </c>
      <c r="J172" s="39" t="s">
        <v>503</v>
      </c>
      <c r="K172" s="39" t="s">
        <v>503</v>
      </c>
      <c r="L172" s="42" t="s">
        <v>313</v>
      </c>
      <c r="M172" s="39" t="s">
        <v>802</v>
      </c>
      <c r="N172" s="42">
        <v>32151800</v>
      </c>
      <c r="O172" s="42" t="s">
        <v>803</v>
      </c>
      <c r="P172" s="50">
        <v>2735217031</v>
      </c>
      <c r="Q172" s="50">
        <v>2735217031</v>
      </c>
      <c r="R172" s="42">
        <v>28223</v>
      </c>
      <c r="S172" s="42" t="s">
        <v>89</v>
      </c>
      <c r="T172" s="39" t="s">
        <v>448</v>
      </c>
      <c r="U172" s="42"/>
      <c r="V172" s="42"/>
      <c r="W172" s="42"/>
      <c r="X172" s="42"/>
      <c r="Y172" s="40"/>
      <c r="Z172" s="42"/>
      <c r="AA172" s="42"/>
      <c r="AB172" s="42"/>
      <c r="AC172" s="42"/>
      <c r="AD172" s="42"/>
      <c r="AE172" s="42"/>
      <c r="AF172" s="42"/>
      <c r="AG172" s="42"/>
      <c r="AH172" s="42"/>
      <c r="AI172" s="39"/>
      <c r="AJ172" s="39"/>
      <c r="AK172" s="42"/>
      <c r="AL172" s="52">
        <f ca="1">+YEAR(TODAY())-YEAR(Tabla13[[#This Row],[FECHA DE NACIMIENTO]])</f>
        <v>123</v>
      </c>
      <c r="AM172" s="42"/>
      <c r="AN172" s="55"/>
      <c r="AO172" s="50"/>
      <c r="AP172" s="42"/>
      <c r="AQ172" s="42"/>
      <c r="AR172" s="42"/>
      <c r="AS172" s="122"/>
      <c r="AT172" s="42"/>
      <c r="AU172" s="55"/>
      <c r="AV172" s="42"/>
      <c r="AW172" s="55"/>
      <c r="AX172" s="55"/>
      <c r="AY172" s="39">
        <f>(AX172-AW172)</f>
        <v>0</v>
      </c>
      <c r="AZ172" s="42"/>
      <c r="BA172" s="42"/>
      <c r="BB172" s="50"/>
      <c r="BC172" s="55"/>
      <c r="BD172" s="42"/>
      <c r="BE172" s="42"/>
      <c r="BF172" s="42"/>
      <c r="BG172" s="55"/>
      <c r="BH172" s="42"/>
      <c r="BI172" s="55"/>
      <c r="BJ172" s="50"/>
      <c r="BK172" s="42"/>
      <c r="BL172" s="55"/>
      <c r="BM172" s="55"/>
      <c r="BN172" s="42"/>
      <c r="BO172" s="42"/>
      <c r="BP172" s="55"/>
      <c r="BQ172" s="42"/>
      <c r="BR172" s="50"/>
      <c r="BS172" s="55"/>
      <c r="BT172" s="42"/>
      <c r="BU172" s="55"/>
      <c r="BV172" s="54"/>
    </row>
    <row r="173" spans="1:74" s="59" customFormat="1" ht="15" customHeight="1" x14ac:dyDescent="0.25">
      <c r="A173" s="158" t="s">
        <v>459</v>
      </c>
      <c r="B173" s="37" t="s">
        <v>460</v>
      </c>
      <c r="C173" s="39" t="s">
        <v>54</v>
      </c>
      <c r="D173" s="42">
        <v>276</v>
      </c>
      <c r="E173" s="39" t="s">
        <v>221</v>
      </c>
      <c r="F173" s="42" t="s">
        <v>866</v>
      </c>
      <c r="G173" s="55" t="s">
        <v>867</v>
      </c>
      <c r="H173" s="42" t="s">
        <v>769</v>
      </c>
      <c r="I173" s="71">
        <v>45016</v>
      </c>
      <c r="J173" s="42" t="s">
        <v>1104</v>
      </c>
      <c r="K173" s="42" t="s">
        <v>1105</v>
      </c>
      <c r="L173" s="39" t="s">
        <v>61</v>
      </c>
      <c r="M173" s="39" t="s">
        <v>868</v>
      </c>
      <c r="N173" s="50" t="s">
        <v>869</v>
      </c>
      <c r="O173" s="41" t="s">
        <v>870</v>
      </c>
      <c r="P173" s="50">
        <v>100000000</v>
      </c>
      <c r="Q173" s="50">
        <v>100000000</v>
      </c>
      <c r="R173" s="42">
        <v>26323</v>
      </c>
      <c r="S173" s="42" t="s">
        <v>597</v>
      </c>
      <c r="T173" s="39" t="s">
        <v>516</v>
      </c>
      <c r="U173" s="39" t="s">
        <v>517</v>
      </c>
      <c r="V173" s="42"/>
      <c r="W173" s="55"/>
      <c r="X173" s="42"/>
      <c r="Y173" s="55"/>
      <c r="Z173" s="42"/>
      <c r="AA173" s="42"/>
      <c r="AB173" s="42"/>
      <c r="AC173" s="42"/>
      <c r="AD173" s="42"/>
      <c r="AE173" s="42"/>
      <c r="AF173" s="42"/>
      <c r="AG173" s="42"/>
      <c r="AH173" s="42"/>
      <c r="AI173" s="39"/>
      <c r="AJ173" s="39"/>
      <c r="AK173" s="43"/>
      <c r="AL173" s="52" t="e">
        <f ca="1">+YEAR(TODAY())-YEAR([3]!Tabla1[[#This Row],[FECHA DE NACIMIENTO]])</f>
        <v>#REF!</v>
      </c>
      <c r="AM173" s="39"/>
      <c r="AN173" s="68"/>
      <c r="AO173" s="50"/>
      <c r="AP173" s="42"/>
      <c r="AQ173" s="53"/>
      <c r="AR173" s="42"/>
      <c r="AS173" s="122"/>
      <c r="AT173" s="42"/>
      <c r="AU173" s="55"/>
      <c r="AV173" s="55"/>
      <c r="AW173" s="55"/>
      <c r="AX173" s="68"/>
      <c r="AY173" s="39">
        <f>(AX173-AW173)</f>
        <v>0</v>
      </c>
      <c r="AZ173" s="50"/>
      <c r="BA173" s="39"/>
      <c r="BB173" s="50"/>
      <c r="BC173" s="55"/>
      <c r="BD173" s="42"/>
      <c r="BE173" s="55"/>
      <c r="BF173" s="42"/>
      <c r="BG173" s="55"/>
      <c r="BH173" s="50"/>
      <c r="BI173" s="55"/>
      <c r="BJ173" s="50"/>
      <c r="BK173" s="55"/>
      <c r="BL173" s="55"/>
      <c r="BM173" s="55"/>
      <c r="BN173" s="55"/>
      <c r="BO173" s="42"/>
      <c r="BP173" s="55"/>
      <c r="BQ173" s="55"/>
      <c r="BR173" s="50"/>
      <c r="BS173" s="55"/>
      <c r="BT173" s="42"/>
      <c r="BU173" s="55"/>
      <c r="BV173" s="42"/>
    </row>
    <row r="174" spans="1:74" s="59" customFormat="1" ht="15" customHeight="1" x14ac:dyDescent="0.25">
      <c r="A174" s="158" t="s">
        <v>459</v>
      </c>
      <c r="B174" s="37" t="s">
        <v>460</v>
      </c>
      <c r="C174" s="39" t="s">
        <v>54</v>
      </c>
      <c r="D174" s="42">
        <v>255</v>
      </c>
      <c r="E174" s="51" t="s">
        <v>1155</v>
      </c>
      <c r="F174" s="43">
        <v>45036</v>
      </c>
      <c r="G174" s="55" t="s">
        <v>924</v>
      </c>
      <c r="H174" s="42" t="s">
        <v>769</v>
      </c>
      <c r="I174" s="71">
        <v>45016</v>
      </c>
      <c r="J174" s="42" t="s">
        <v>1104</v>
      </c>
      <c r="K174" s="39" t="s">
        <v>493</v>
      </c>
      <c r="L174" s="42" t="s">
        <v>925</v>
      </c>
      <c r="M174" s="42" t="s">
        <v>926</v>
      </c>
      <c r="N174" s="42">
        <v>84121804</v>
      </c>
      <c r="O174" s="50" t="s">
        <v>927</v>
      </c>
      <c r="P174" s="50">
        <v>120000000</v>
      </c>
      <c r="Q174" s="50">
        <v>120000000</v>
      </c>
      <c r="R174" s="42">
        <v>24923</v>
      </c>
      <c r="S174" s="42" t="s">
        <v>928</v>
      </c>
      <c r="T174" s="42" t="s">
        <v>516</v>
      </c>
      <c r="U174" s="42"/>
      <c r="V174" s="42"/>
      <c r="W174" s="55"/>
      <c r="X174" s="42"/>
      <c r="Y174" s="55"/>
      <c r="Z174" s="42" t="s">
        <v>929</v>
      </c>
      <c r="AA174" s="42"/>
      <c r="AB174" s="42"/>
      <c r="AC174" s="42"/>
      <c r="AD174" s="42"/>
      <c r="AE174" s="42"/>
      <c r="AF174" s="42"/>
      <c r="AG174" s="42"/>
      <c r="AH174" s="42"/>
      <c r="AI174" s="39"/>
      <c r="AJ174" s="39"/>
      <c r="AK174" s="42"/>
      <c r="AL174" s="52" t="e">
        <f ca="1">+YEAR(TODAY())-YEAR([8]!Tabla1[[#This Row],[FECHA DE NACIMIENTO]])</f>
        <v>#REF!</v>
      </c>
      <c r="AM174" s="50"/>
      <c r="AN174" s="55"/>
      <c r="AO174" s="50"/>
      <c r="AP174" s="42"/>
      <c r="AQ174" s="53"/>
      <c r="AR174" s="42"/>
      <c r="AS174" s="53"/>
      <c r="AT174" s="42"/>
      <c r="AU174" s="55"/>
      <c r="AV174" s="55"/>
      <c r="AW174" s="55"/>
      <c r="AX174" s="55"/>
      <c r="AY174" s="39">
        <f>(AX174-AW174)</f>
        <v>0</v>
      </c>
      <c r="AZ174" s="50"/>
      <c r="BA174" s="55"/>
      <c r="BB174" s="50"/>
      <c r="BC174" s="55"/>
      <c r="BD174" s="42"/>
      <c r="BE174" s="55"/>
      <c r="BF174" s="42"/>
      <c r="BG174" s="55"/>
      <c r="BH174" s="50"/>
      <c r="BI174" s="55"/>
      <c r="BJ174" s="41" t="e">
        <f>([8]!Tabla1[[#This Row],[VALOR TOTAL CONTRATO + VF]]+[8]!Tabla1[[#This Row],[ADICION 1 ]]+[8]!Tabla1[[#This Row],[ADICION 2]]-[8]!Tabla1[[#This Row],[LIBERACION]])</f>
        <v>#REF!</v>
      </c>
      <c r="BK174" s="55"/>
      <c r="BL174" s="55"/>
      <c r="BM174" s="55"/>
      <c r="BN174" s="55"/>
      <c r="BO174" s="42"/>
      <c r="BP174" s="55"/>
      <c r="BQ174" s="55"/>
      <c r="BR174" s="50"/>
      <c r="BS174" s="55"/>
      <c r="BT174" s="39">
        <f>SUM(AY174+BK174+BN174+BQ174)</f>
        <v>0</v>
      </c>
      <c r="BU174" s="55"/>
      <c r="BV174" s="42"/>
    </row>
    <row r="175" spans="1:74" s="59" customFormat="1" ht="15" customHeight="1" x14ac:dyDescent="0.25">
      <c r="A175" s="158" t="s">
        <v>459</v>
      </c>
      <c r="B175" s="37" t="s">
        <v>460</v>
      </c>
      <c r="C175" s="39" t="s">
        <v>54</v>
      </c>
      <c r="D175" s="42">
        <v>259</v>
      </c>
      <c r="E175" s="51" t="s">
        <v>1155</v>
      </c>
      <c r="F175" s="43">
        <v>45036</v>
      </c>
      <c r="G175" s="55" t="s">
        <v>1099</v>
      </c>
      <c r="H175" s="42" t="s">
        <v>769</v>
      </c>
      <c r="I175" s="68">
        <v>45016</v>
      </c>
      <c r="J175" s="42" t="s">
        <v>1032</v>
      </c>
      <c r="K175" s="42" t="s">
        <v>1100</v>
      </c>
      <c r="L175" s="39" t="s">
        <v>652</v>
      </c>
      <c r="M175" s="39" t="s">
        <v>1101</v>
      </c>
      <c r="N175" s="42" t="s">
        <v>1102</v>
      </c>
      <c r="O175" s="50" t="s">
        <v>1103</v>
      </c>
      <c r="P175" s="50">
        <v>20000000</v>
      </c>
      <c r="Q175" s="50">
        <v>20000000</v>
      </c>
      <c r="R175" s="42">
        <v>24723</v>
      </c>
      <c r="S175" s="42" t="s">
        <v>500</v>
      </c>
      <c r="T175" s="42" t="s">
        <v>448</v>
      </c>
      <c r="U175" s="42" t="s">
        <v>517</v>
      </c>
      <c r="V175" s="42"/>
      <c r="W175" s="55"/>
      <c r="X175" s="42"/>
      <c r="Y175" s="55"/>
      <c r="Z175" s="42" t="s">
        <v>1039</v>
      </c>
      <c r="AA175" s="42"/>
      <c r="AB175" s="39" t="s">
        <v>68</v>
      </c>
      <c r="AC175" s="39" t="s">
        <v>69</v>
      </c>
      <c r="AD175" s="42"/>
      <c r="AE175" s="42"/>
      <c r="AF175" s="42"/>
      <c r="AG175" s="39" t="s">
        <v>517</v>
      </c>
      <c r="AH175" s="39" t="s">
        <v>551</v>
      </c>
      <c r="AI175" s="39"/>
      <c r="AJ175" s="39"/>
      <c r="AK175" s="42"/>
      <c r="AL175" s="52" t="e">
        <f ca="1">+YEAR(TODAY())-YEAR([7]!Tabla1[[#This Row],[FECHA DE NACIMIENTO]])</f>
        <v>#REF!</v>
      </c>
      <c r="AM175" s="50"/>
      <c r="AN175" s="55"/>
      <c r="AO175" s="50"/>
      <c r="AP175" s="42"/>
      <c r="AQ175" s="53"/>
      <c r="AR175" s="42"/>
      <c r="AS175" s="53"/>
      <c r="AT175" s="42"/>
      <c r="AU175" s="174"/>
      <c r="AV175" s="55"/>
      <c r="AW175" s="55"/>
      <c r="AX175" s="55"/>
      <c r="AY175" s="42"/>
      <c r="AZ175" s="50"/>
      <c r="BA175" s="55"/>
      <c r="BB175" s="50"/>
      <c r="BC175" s="55"/>
      <c r="BD175" s="42"/>
      <c r="BE175" s="55"/>
      <c r="BF175" s="42"/>
      <c r="BG175" s="55"/>
      <c r="BH175" s="50"/>
      <c r="BI175" s="55"/>
      <c r="BJ175" s="50"/>
      <c r="BK175" s="55"/>
      <c r="BL175" s="55"/>
      <c r="BM175" s="55"/>
      <c r="BN175" s="55"/>
      <c r="BO175" s="42"/>
      <c r="BP175" s="55"/>
      <c r="BQ175" s="55"/>
      <c r="BR175" s="50"/>
      <c r="BS175" s="55"/>
      <c r="BT175" s="42"/>
      <c r="BU175" s="55"/>
      <c r="BV175" s="42"/>
    </row>
    <row r="176" spans="1:74" s="59" customFormat="1" ht="15" customHeight="1" x14ac:dyDescent="0.25">
      <c r="A176" s="125" t="s">
        <v>459</v>
      </c>
      <c r="B176" s="125" t="s">
        <v>460</v>
      </c>
      <c r="C176" s="125" t="s">
        <v>481</v>
      </c>
      <c r="D176" s="39">
        <v>137</v>
      </c>
      <c r="E176" s="39" t="s">
        <v>409</v>
      </c>
      <c r="F176" s="39" t="s">
        <v>1146</v>
      </c>
      <c r="G176" s="44">
        <v>147290</v>
      </c>
      <c r="H176" s="42" t="s">
        <v>769</v>
      </c>
      <c r="I176" s="43">
        <v>45016</v>
      </c>
      <c r="J176" s="39" t="s">
        <v>1120</v>
      </c>
      <c r="K176" s="39" t="s">
        <v>1121</v>
      </c>
      <c r="L176" s="125" t="s">
        <v>766</v>
      </c>
      <c r="M176" s="42" t="s">
        <v>1293</v>
      </c>
      <c r="N176" s="125">
        <v>76111501</v>
      </c>
      <c r="O176" s="135" t="s">
        <v>1138</v>
      </c>
      <c r="P176" s="131">
        <v>72412041</v>
      </c>
      <c r="Q176" s="131">
        <v>72412041</v>
      </c>
      <c r="R176" s="39">
        <v>28623</v>
      </c>
      <c r="S176" s="42" t="s">
        <v>1037</v>
      </c>
      <c r="T176" s="125" t="s">
        <v>64</v>
      </c>
      <c r="U176" s="125" t="s">
        <v>65</v>
      </c>
      <c r="V176" s="39"/>
      <c r="W176" s="126">
        <v>108012</v>
      </c>
      <c r="X176" s="39" t="s">
        <v>1248</v>
      </c>
      <c r="Y176" s="43">
        <v>45035</v>
      </c>
      <c r="Z176" s="39" t="s">
        <v>1249</v>
      </c>
      <c r="AA176" s="39"/>
      <c r="AB176" s="39" t="s">
        <v>1294</v>
      </c>
      <c r="AC176" s="39" t="s">
        <v>1295</v>
      </c>
      <c r="AD176" s="132" t="s">
        <v>1291</v>
      </c>
      <c r="AE176" s="39">
        <v>900240753</v>
      </c>
      <c r="AF176" s="39">
        <v>1</v>
      </c>
      <c r="AG176" s="39" t="s">
        <v>517</v>
      </c>
      <c r="AH176" s="39" t="s">
        <v>297</v>
      </c>
      <c r="AI176" s="39"/>
      <c r="AJ176" s="39"/>
      <c r="AK176" s="39" t="s">
        <v>517</v>
      </c>
      <c r="AL176" s="43" t="s">
        <v>517</v>
      </c>
      <c r="AM176" s="42"/>
      <c r="AN176" s="43"/>
      <c r="AO176" s="129">
        <v>66859366.390000001</v>
      </c>
      <c r="AP176" s="39"/>
      <c r="AQ176" s="45"/>
      <c r="AR176" s="39"/>
      <c r="AS176" s="176">
        <f>SUM(AO176+AP176+AQ176+AR176)</f>
        <v>66859366.390000001</v>
      </c>
      <c r="AT176" s="39" t="s">
        <v>297</v>
      </c>
      <c r="AU176" s="43">
        <v>45041</v>
      </c>
      <c r="AV176" s="125" t="s">
        <v>74</v>
      </c>
      <c r="AW176" s="43">
        <v>45035</v>
      </c>
      <c r="AX176" s="43">
        <v>45291</v>
      </c>
      <c r="AY176" s="125">
        <f>(AX176-AW176)</f>
        <v>256</v>
      </c>
      <c r="AZ176" s="133" t="s">
        <v>1296</v>
      </c>
      <c r="BA176" s="125">
        <v>79448817</v>
      </c>
      <c r="BB176" s="39"/>
      <c r="BC176" s="39"/>
      <c r="BD176" s="39"/>
      <c r="BE176" s="43"/>
      <c r="BF176" s="39"/>
      <c r="BG176" s="43"/>
      <c r="BH176" s="41"/>
      <c r="BI176" s="39"/>
      <c r="BJ176" s="127">
        <f>SUM(AS176+BB176+BD176+BF176-BH176)</f>
        <v>66859366.390000001</v>
      </c>
      <c r="BK176" s="43"/>
      <c r="BL176" s="39"/>
      <c r="BM176" s="39"/>
      <c r="BN176" s="43"/>
      <c r="BO176" s="39"/>
      <c r="BP176" s="41"/>
      <c r="BQ176" s="43"/>
      <c r="BR176" s="39"/>
      <c r="BS176" s="43"/>
      <c r="BT176" s="39">
        <f>SUM(AY176+BK176+BN176+BQ176)</f>
        <v>256</v>
      </c>
      <c r="BU176" s="39"/>
      <c r="BV176" s="39"/>
    </row>
    <row r="177" spans="1:74" s="59" customFormat="1" ht="15" customHeight="1" x14ac:dyDescent="0.25">
      <c r="A177" s="42" t="s">
        <v>459</v>
      </c>
      <c r="B177" s="42" t="s">
        <v>460</v>
      </c>
      <c r="C177" s="39" t="s">
        <v>54</v>
      </c>
      <c r="D177" s="42">
        <v>83</v>
      </c>
      <c r="E177" s="39" t="s">
        <v>221</v>
      </c>
      <c r="F177" s="39" t="s">
        <v>1222</v>
      </c>
      <c r="G177" s="55" t="s">
        <v>1223</v>
      </c>
      <c r="H177" s="42" t="s">
        <v>1155</v>
      </c>
      <c r="I177" s="71">
        <v>45043</v>
      </c>
      <c r="J177" s="39" t="s">
        <v>534</v>
      </c>
      <c r="K177" s="42" t="s">
        <v>854</v>
      </c>
      <c r="L177" s="39" t="s">
        <v>86</v>
      </c>
      <c r="M177" s="39" t="s">
        <v>1224</v>
      </c>
      <c r="N177" s="39" t="s">
        <v>1225</v>
      </c>
      <c r="O177" s="39" t="s">
        <v>1226</v>
      </c>
      <c r="P177" s="50">
        <v>45000000</v>
      </c>
      <c r="Q177" s="50">
        <v>45000000</v>
      </c>
      <c r="R177" s="42">
        <v>33923</v>
      </c>
      <c r="S177" s="42" t="s">
        <v>89</v>
      </c>
      <c r="T177" s="39" t="s">
        <v>516</v>
      </c>
      <c r="U177" s="39" t="s">
        <v>517</v>
      </c>
      <c r="V177" s="42"/>
      <c r="W177" s="55"/>
      <c r="X177" s="39"/>
      <c r="Y177" s="55"/>
      <c r="Z177" s="42"/>
      <c r="AA177" s="42"/>
      <c r="AB177" s="42"/>
      <c r="AC177" s="42"/>
      <c r="AD177" s="42"/>
      <c r="AE177" s="42"/>
      <c r="AF177" s="42"/>
      <c r="AG177" s="42"/>
      <c r="AH177" s="42"/>
      <c r="AI177" s="39"/>
      <c r="AJ177" s="39"/>
      <c r="AK177" s="55"/>
      <c r="AL177" s="52"/>
      <c r="AM177" s="39"/>
      <c r="AN177" s="55"/>
      <c r="AO177" s="50"/>
      <c r="AP177" s="42"/>
      <c r="AQ177" s="53"/>
      <c r="AR177" s="42"/>
      <c r="AS177" s="122"/>
      <c r="AT177" s="42"/>
      <c r="AU177" s="55"/>
      <c r="AV177" s="55"/>
      <c r="AW177" s="55"/>
      <c r="AX177" s="55"/>
      <c r="AY177" s="39"/>
      <c r="AZ177" s="50"/>
      <c r="BA177" s="39"/>
      <c r="BB177" s="50"/>
      <c r="BC177" s="55"/>
      <c r="BD177" s="42"/>
      <c r="BE177" s="55"/>
      <c r="BF177" s="42"/>
      <c r="BG177" s="55"/>
      <c r="BH177" s="50"/>
      <c r="BI177" s="55"/>
      <c r="BJ177" s="41"/>
      <c r="BK177" s="55"/>
      <c r="BL177" s="55"/>
      <c r="BM177" s="55"/>
      <c r="BN177" s="55"/>
      <c r="BO177" s="42"/>
      <c r="BP177" s="55"/>
      <c r="BQ177" s="55"/>
      <c r="BR177" s="50"/>
      <c r="BS177" s="55"/>
      <c r="BT177" s="39"/>
      <c r="BU177" s="55"/>
      <c r="BV177" s="42"/>
    </row>
    <row r="178" spans="1:74" s="59" customFormat="1" ht="15" customHeight="1" x14ac:dyDescent="0.25">
      <c r="A178" s="125" t="s">
        <v>459</v>
      </c>
      <c r="B178" s="125" t="s">
        <v>460</v>
      </c>
      <c r="C178" s="125" t="s">
        <v>481</v>
      </c>
      <c r="D178" s="39">
        <v>127</v>
      </c>
      <c r="E178" s="39" t="s">
        <v>409</v>
      </c>
      <c r="F178" s="39" t="s">
        <v>1245</v>
      </c>
      <c r="G178" s="44">
        <v>148368</v>
      </c>
      <c r="H178" s="51" t="s">
        <v>1155</v>
      </c>
      <c r="I178" s="43">
        <v>45027</v>
      </c>
      <c r="J178" s="39" t="s">
        <v>1120</v>
      </c>
      <c r="K178" s="39" t="s">
        <v>1121</v>
      </c>
      <c r="L178" s="125" t="s">
        <v>766</v>
      </c>
      <c r="M178" s="42" t="s">
        <v>1246</v>
      </c>
      <c r="N178" s="125">
        <v>76111501</v>
      </c>
      <c r="O178" s="135" t="s">
        <v>1138</v>
      </c>
      <c r="P178" s="131">
        <v>189479231.19999999</v>
      </c>
      <c r="Q178" s="131">
        <v>189479231.19999999</v>
      </c>
      <c r="R178" s="39">
        <v>28623</v>
      </c>
      <c r="S178" s="42" t="s">
        <v>1037</v>
      </c>
      <c r="T178" s="125" t="s">
        <v>64</v>
      </c>
      <c r="U178" s="125" t="s">
        <v>1247</v>
      </c>
      <c r="V178" s="39"/>
      <c r="W178" s="126">
        <v>108707</v>
      </c>
      <c r="X178" s="39" t="s">
        <v>1248</v>
      </c>
      <c r="Y178" s="43">
        <v>45045</v>
      </c>
      <c r="Z178" s="39" t="s">
        <v>1249</v>
      </c>
      <c r="AA178" s="39"/>
      <c r="AB178" s="39" t="s">
        <v>1250</v>
      </c>
      <c r="AC178" s="39" t="s">
        <v>1251</v>
      </c>
      <c r="AD178" s="132" t="s">
        <v>1252</v>
      </c>
      <c r="AE178" s="39">
        <v>901676833</v>
      </c>
      <c r="AF178" s="39">
        <v>8</v>
      </c>
      <c r="AG178" s="39" t="s">
        <v>517</v>
      </c>
      <c r="AH178" s="39"/>
      <c r="AI178" s="39"/>
      <c r="AJ178" s="39"/>
      <c r="AK178" s="39" t="s">
        <v>517</v>
      </c>
      <c r="AL178" s="43" t="s">
        <v>517</v>
      </c>
      <c r="AM178" s="42"/>
      <c r="AN178" s="39"/>
      <c r="AO178" s="175"/>
      <c r="AP178" s="39"/>
      <c r="AQ178" s="45"/>
      <c r="AR178" s="39"/>
      <c r="AS178" s="176">
        <f>SUM(AO178+AP178+AQ178+AR178)</f>
        <v>0</v>
      </c>
      <c r="AT178" s="39"/>
      <c r="AU178" s="171" t="s">
        <v>1253</v>
      </c>
      <c r="AV178" s="125" t="s">
        <v>74</v>
      </c>
      <c r="AW178" s="43"/>
      <c r="AX178" s="43"/>
      <c r="AY178" s="125">
        <f>(AX178-AW178)</f>
        <v>0</v>
      </c>
      <c r="AZ178" s="133"/>
      <c r="BA178" s="43"/>
      <c r="BB178" s="39"/>
      <c r="BC178" s="39"/>
      <c r="BD178" s="39"/>
      <c r="BE178" s="43"/>
      <c r="BF178" s="39"/>
      <c r="BG178" s="43"/>
      <c r="BH178" s="41"/>
      <c r="BI178" s="39"/>
      <c r="BJ178" s="127">
        <f>SUM(AS178+BB178+BD178+BF178-BH178)</f>
        <v>0</v>
      </c>
      <c r="BK178" s="43"/>
      <c r="BL178" s="39"/>
      <c r="BM178" s="39"/>
      <c r="BN178" s="43"/>
      <c r="BO178" s="39"/>
      <c r="BP178" s="41"/>
      <c r="BQ178" s="43"/>
      <c r="BR178" s="39"/>
      <c r="BS178" s="43"/>
      <c r="BT178" s="39">
        <f>SUM(AY178+BK178+BN178+BQ178)</f>
        <v>0</v>
      </c>
      <c r="BU178" s="39"/>
      <c r="BV178" s="39"/>
    </row>
    <row r="179" spans="1:74" s="59" customFormat="1" ht="15" customHeight="1" x14ac:dyDescent="0.25">
      <c r="A179" s="42" t="s">
        <v>459</v>
      </c>
      <c r="B179" s="42" t="s">
        <v>460</v>
      </c>
      <c r="C179" s="39" t="s">
        <v>54</v>
      </c>
      <c r="D179" s="42">
        <v>171</v>
      </c>
      <c r="E179" s="39" t="s">
        <v>221</v>
      </c>
      <c r="F179" s="39" t="s">
        <v>1222</v>
      </c>
      <c r="G179" s="55" t="s">
        <v>1227</v>
      </c>
      <c r="H179" s="42" t="s">
        <v>1155</v>
      </c>
      <c r="I179" s="71">
        <v>45043</v>
      </c>
      <c r="J179" s="39" t="s">
        <v>534</v>
      </c>
      <c r="K179" s="42" t="s">
        <v>1228</v>
      </c>
      <c r="L179" s="39" t="s">
        <v>61</v>
      </c>
      <c r="M179" s="39" t="s">
        <v>1229</v>
      </c>
      <c r="N179" s="42">
        <v>78181507</v>
      </c>
      <c r="O179" s="50" t="s">
        <v>1230</v>
      </c>
      <c r="P179" s="50">
        <v>45000000</v>
      </c>
      <c r="Q179" s="50">
        <v>45000000</v>
      </c>
      <c r="R179" s="42">
        <v>30923</v>
      </c>
      <c r="S179" s="42" t="s">
        <v>500</v>
      </c>
      <c r="T179" s="39" t="s">
        <v>516</v>
      </c>
      <c r="U179" s="39" t="s">
        <v>517</v>
      </c>
      <c r="V179" s="42"/>
      <c r="W179" s="55"/>
      <c r="X179" s="39"/>
      <c r="Y179" s="55"/>
      <c r="Z179" s="42"/>
      <c r="AA179" s="42"/>
      <c r="AB179" s="42"/>
      <c r="AC179" s="42"/>
      <c r="AD179" s="42"/>
      <c r="AE179" s="42"/>
      <c r="AF179" s="42"/>
      <c r="AG179" s="42"/>
      <c r="AH179" s="42"/>
      <c r="AI179" s="39"/>
      <c r="AJ179" s="39"/>
      <c r="AK179" s="55"/>
      <c r="AL179" s="52"/>
      <c r="AM179" s="39"/>
      <c r="AN179" s="55"/>
      <c r="AO179" s="50"/>
      <c r="AP179" s="42"/>
      <c r="AQ179" s="53"/>
      <c r="AR179" s="42"/>
      <c r="AS179" s="122"/>
      <c r="AT179" s="42"/>
      <c r="AU179" s="55"/>
      <c r="AV179" s="55"/>
      <c r="AW179" s="55"/>
      <c r="AX179" s="55"/>
      <c r="AY179" s="39"/>
      <c r="AZ179" s="50"/>
      <c r="BA179" s="39"/>
      <c r="BB179" s="50"/>
      <c r="BC179" s="55"/>
      <c r="BD179" s="42"/>
      <c r="BE179" s="55"/>
      <c r="BF179" s="42"/>
      <c r="BG179" s="55"/>
      <c r="BH179" s="50"/>
      <c r="BI179" s="55"/>
      <c r="BJ179" s="41"/>
      <c r="BK179" s="55"/>
      <c r="BL179" s="55"/>
      <c r="BM179" s="55"/>
      <c r="BN179" s="55"/>
      <c r="BO179" s="42"/>
      <c r="BP179" s="55"/>
      <c r="BQ179" s="55"/>
      <c r="BR179" s="50"/>
      <c r="BS179" s="55"/>
      <c r="BT179" s="39"/>
      <c r="BU179" s="55"/>
      <c r="BV179" s="42"/>
    </row>
    <row r="180" spans="1:74" s="287" customFormat="1" ht="15" customHeight="1" x14ac:dyDescent="0.25">
      <c r="A180" s="14" t="s">
        <v>459</v>
      </c>
      <c r="B180" s="4" t="s">
        <v>460</v>
      </c>
      <c r="C180" s="7" t="s">
        <v>54</v>
      </c>
      <c r="D180" s="1">
        <v>173</v>
      </c>
      <c r="E180" s="3" t="s">
        <v>221</v>
      </c>
      <c r="F180" s="3" t="s">
        <v>1231</v>
      </c>
      <c r="G180" s="18" t="s">
        <v>1232</v>
      </c>
      <c r="H180" s="1" t="s">
        <v>1155</v>
      </c>
      <c r="I180" s="24">
        <v>45043</v>
      </c>
      <c r="J180" s="3" t="s">
        <v>534</v>
      </c>
      <c r="K180" s="1" t="s">
        <v>1228</v>
      </c>
      <c r="L180" s="3" t="s">
        <v>61</v>
      </c>
      <c r="M180" s="3" t="s">
        <v>1233</v>
      </c>
      <c r="N180" s="1">
        <v>78181507</v>
      </c>
      <c r="O180" s="8" t="s">
        <v>1230</v>
      </c>
      <c r="P180" s="2">
        <v>20000000</v>
      </c>
      <c r="Q180" s="2">
        <v>20000000</v>
      </c>
      <c r="R180" s="1">
        <v>34123</v>
      </c>
      <c r="S180" s="1" t="s">
        <v>500</v>
      </c>
      <c r="T180" s="228" t="s">
        <v>133</v>
      </c>
      <c r="U180" s="228" t="s">
        <v>132</v>
      </c>
      <c r="V180" s="227">
        <v>1641</v>
      </c>
      <c r="W180" s="18" t="s">
        <v>517</v>
      </c>
      <c r="X180" s="18" t="s">
        <v>517</v>
      </c>
      <c r="Y180" s="18" t="s">
        <v>517</v>
      </c>
      <c r="Z180" s="18" t="s">
        <v>517</v>
      </c>
      <c r="AA180" s="1"/>
      <c r="AB180" s="18" t="s">
        <v>517</v>
      </c>
      <c r="AC180" s="18" t="s">
        <v>517</v>
      </c>
      <c r="AD180" s="18" t="s">
        <v>517</v>
      </c>
      <c r="AE180" s="18" t="s">
        <v>517</v>
      </c>
      <c r="AF180" s="18" t="s">
        <v>517</v>
      </c>
      <c r="AG180" s="18" t="s">
        <v>517</v>
      </c>
      <c r="AH180" s="18" t="s">
        <v>517</v>
      </c>
      <c r="AI180" s="18" t="s">
        <v>517</v>
      </c>
      <c r="AJ180" s="18" t="s">
        <v>517</v>
      </c>
      <c r="AK180" s="18" t="s">
        <v>517</v>
      </c>
      <c r="AL180" s="18" t="s">
        <v>517</v>
      </c>
      <c r="AM180" s="18" t="s">
        <v>517</v>
      </c>
      <c r="AN180" s="18" t="s">
        <v>517</v>
      </c>
      <c r="AO180" s="18" t="s">
        <v>517</v>
      </c>
      <c r="AP180" s="18"/>
      <c r="AQ180" s="285"/>
      <c r="AR180" s="1"/>
      <c r="AS180" s="18" t="s">
        <v>517</v>
      </c>
      <c r="AT180" s="18" t="s">
        <v>517</v>
      </c>
      <c r="AU180" s="18" t="s">
        <v>517</v>
      </c>
      <c r="AV180" s="18" t="s">
        <v>517</v>
      </c>
      <c r="AW180" s="18" t="s">
        <v>517</v>
      </c>
      <c r="AX180" s="18" t="s">
        <v>517</v>
      </c>
      <c r="AY180" s="18" t="s">
        <v>517</v>
      </c>
      <c r="AZ180" s="18" t="s">
        <v>517</v>
      </c>
      <c r="BA180" s="18" t="s">
        <v>517</v>
      </c>
      <c r="BB180" s="18"/>
      <c r="BC180" s="18"/>
      <c r="BD180" s="1"/>
      <c r="BE180" s="18"/>
      <c r="BF180" s="1"/>
      <c r="BG180" s="18"/>
      <c r="BH180" s="2"/>
      <c r="BI180" s="18"/>
      <c r="BJ180" s="8" t="s">
        <v>517</v>
      </c>
      <c r="BK180" s="8"/>
      <c r="BL180" s="18"/>
      <c r="BM180" s="18"/>
      <c r="BN180" s="18"/>
      <c r="BO180" s="1"/>
      <c r="BP180" s="18"/>
      <c r="BQ180" s="18"/>
      <c r="BR180" s="2"/>
      <c r="BS180" s="18"/>
      <c r="BT180" s="3"/>
      <c r="BU180" s="18"/>
      <c r="BV180" s="286"/>
    </row>
    <row r="181" spans="1:74" s="239" customFormat="1" x14ac:dyDescent="0.25">
      <c r="A181" s="239" t="s">
        <v>459</v>
      </c>
      <c r="B181" s="239" t="s">
        <v>460</v>
      </c>
      <c r="C181" s="239" t="s">
        <v>54</v>
      </c>
      <c r="D181" s="239">
        <v>196</v>
      </c>
      <c r="E181" s="236" t="s">
        <v>1178</v>
      </c>
      <c r="F181" s="279" t="s">
        <v>1179</v>
      </c>
      <c r="G181" s="239" t="s">
        <v>1180</v>
      </c>
      <c r="H181" s="239" t="s">
        <v>1155</v>
      </c>
      <c r="I181" s="280">
        <v>45044</v>
      </c>
      <c r="J181" s="239" t="s">
        <v>534</v>
      </c>
      <c r="K181" s="239" t="s">
        <v>534</v>
      </c>
      <c r="L181" s="279" t="s">
        <v>1181</v>
      </c>
      <c r="M181" s="279" t="s">
        <v>1182</v>
      </c>
      <c r="N181" s="239">
        <v>15101505</v>
      </c>
      <c r="O181" s="239" t="s">
        <v>1183</v>
      </c>
      <c r="P181" s="281">
        <v>5000000</v>
      </c>
      <c r="Q181" s="281">
        <v>5000000</v>
      </c>
      <c r="R181" s="239">
        <v>35623</v>
      </c>
      <c r="S181" s="239" t="s">
        <v>1184</v>
      </c>
      <c r="T181" s="239" t="s">
        <v>133</v>
      </c>
      <c r="U181" s="245" t="s">
        <v>132</v>
      </c>
      <c r="V181" s="239">
        <v>1506</v>
      </c>
    </row>
    <row r="182" spans="1:74" s="117" customFormat="1" x14ac:dyDescent="0.25">
      <c r="A182" s="170" t="s">
        <v>459</v>
      </c>
      <c r="B182" s="170" t="s">
        <v>460</v>
      </c>
      <c r="C182" s="170" t="s">
        <v>54</v>
      </c>
      <c r="D182" s="170">
        <v>203</v>
      </c>
      <c r="E182" s="79" t="s">
        <v>1178</v>
      </c>
      <c r="F182" s="81" t="s">
        <v>1186</v>
      </c>
      <c r="G182" s="170" t="s">
        <v>1187</v>
      </c>
      <c r="H182" s="170" t="s">
        <v>1155</v>
      </c>
      <c r="I182" s="177">
        <v>45037</v>
      </c>
      <c r="J182" s="170" t="s">
        <v>1188</v>
      </c>
      <c r="K182" s="170" t="s">
        <v>1189</v>
      </c>
      <c r="L182" s="81" t="s">
        <v>1181</v>
      </c>
      <c r="M182" s="81" t="s">
        <v>1190</v>
      </c>
      <c r="N182" s="170">
        <v>78131602</v>
      </c>
      <c r="O182" s="170" t="s">
        <v>1191</v>
      </c>
      <c r="P182" s="178">
        <v>1572376400</v>
      </c>
      <c r="Q182" s="178">
        <v>1250609235</v>
      </c>
      <c r="R182" s="170">
        <v>29323</v>
      </c>
      <c r="S182" s="170" t="s">
        <v>1192</v>
      </c>
      <c r="T182" s="170" t="s">
        <v>64</v>
      </c>
      <c r="U182" s="170" t="s">
        <v>1193</v>
      </c>
      <c r="V182" s="170"/>
      <c r="W182" s="170" t="s">
        <v>1194</v>
      </c>
      <c r="X182" s="170" t="s">
        <v>1195</v>
      </c>
      <c r="Y182" s="78">
        <v>45043</v>
      </c>
      <c r="Z182" s="170" t="s">
        <v>1189</v>
      </c>
      <c r="AA182" s="170"/>
      <c r="AB182" s="170" t="s">
        <v>68</v>
      </c>
      <c r="AC182" s="170" t="s">
        <v>1196</v>
      </c>
      <c r="AD182" s="170" t="s">
        <v>1197</v>
      </c>
      <c r="AE182" s="170" t="s">
        <v>1198</v>
      </c>
      <c r="AF182" s="170"/>
      <c r="AG182" s="170"/>
      <c r="AH182" s="170"/>
      <c r="AI182" s="170"/>
      <c r="AJ182" s="170"/>
      <c r="AK182" s="170"/>
      <c r="AL182" s="170"/>
      <c r="AM182" s="170">
        <v>78923</v>
      </c>
      <c r="AN182" s="151">
        <v>45044</v>
      </c>
      <c r="AO182" s="170">
        <v>1250609235</v>
      </c>
      <c r="AP182" s="170"/>
      <c r="AQ182" s="170"/>
      <c r="AR182" s="170"/>
      <c r="AS182" s="170">
        <v>1250609235</v>
      </c>
      <c r="AT182" s="170" t="s">
        <v>297</v>
      </c>
      <c r="AU182" s="179">
        <v>45050</v>
      </c>
      <c r="AV182" s="170" t="s">
        <v>1199</v>
      </c>
      <c r="AW182" s="179">
        <v>45050</v>
      </c>
      <c r="AX182" s="151">
        <v>45291</v>
      </c>
      <c r="AY182" s="170">
        <v>240</v>
      </c>
      <c r="AZ182" s="170" t="s">
        <v>1200</v>
      </c>
      <c r="BA182" s="170">
        <v>36551065</v>
      </c>
      <c r="BB182" s="170"/>
      <c r="BC182" s="170"/>
      <c r="BD182" s="170"/>
      <c r="BE182" s="170"/>
      <c r="BF182" s="170"/>
      <c r="BG182" s="170"/>
      <c r="BH182" s="170"/>
      <c r="BI182" s="170"/>
      <c r="BJ182" s="170">
        <v>1250609235</v>
      </c>
      <c r="BK182" s="170"/>
      <c r="BL182" s="170"/>
      <c r="BM182" s="170"/>
      <c r="BN182" s="170"/>
      <c r="BO182" s="170"/>
      <c r="BP182" s="170"/>
      <c r="BQ182" s="170"/>
      <c r="BR182" s="170"/>
      <c r="BS182" s="170"/>
      <c r="BT182" s="170"/>
      <c r="BU182" s="170"/>
      <c r="BV182" s="170"/>
    </row>
    <row r="183" spans="1:74" s="117" customFormat="1" ht="15.95" customHeight="1" x14ac:dyDescent="0.25">
      <c r="A183" s="125" t="s">
        <v>459</v>
      </c>
      <c r="B183" s="125" t="s">
        <v>460</v>
      </c>
      <c r="C183" s="125" t="s">
        <v>54</v>
      </c>
      <c r="D183" s="39">
        <v>229</v>
      </c>
      <c r="E183" s="67" t="s">
        <v>55</v>
      </c>
      <c r="F183" s="39" t="s">
        <v>1160</v>
      </c>
      <c r="G183" s="39" t="s">
        <v>1159</v>
      </c>
      <c r="H183" s="39" t="s">
        <v>1155</v>
      </c>
      <c r="I183" s="43">
        <v>45043</v>
      </c>
      <c r="J183" s="39" t="s">
        <v>59</v>
      </c>
      <c r="K183" s="39" t="s">
        <v>330</v>
      </c>
      <c r="L183" s="39" t="s">
        <v>313</v>
      </c>
      <c r="M183" s="42" t="s">
        <v>1161</v>
      </c>
      <c r="N183" s="125">
        <v>72151704</v>
      </c>
      <c r="O183" s="135" t="s">
        <v>1162</v>
      </c>
      <c r="P183" s="131">
        <v>25000000</v>
      </c>
      <c r="Q183" s="131">
        <v>25000000</v>
      </c>
      <c r="R183" s="39">
        <v>28323</v>
      </c>
      <c r="S183" s="42" t="s">
        <v>89</v>
      </c>
      <c r="T183" s="42" t="s">
        <v>1342</v>
      </c>
      <c r="U183" s="39"/>
      <c r="V183" s="39">
        <v>1604</v>
      </c>
      <c r="W183" s="43"/>
      <c r="X183" s="39"/>
      <c r="Y183" s="39"/>
      <c r="Z183" s="39"/>
      <c r="AA183" s="39"/>
      <c r="AB183" s="39"/>
      <c r="AC183" s="39"/>
      <c r="AD183" s="39"/>
      <c r="AE183" s="39"/>
      <c r="AF183" s="39"/>
      <c r="AG183" s="39"/>
      <c r="AH183" s="39"/>
      <c r="AI183" s="39"/>
      <c r="AJ183" s="39"/>
      <c r="AK183" s="39"/>
      <c r="AL183" s="43"/>
      <c r="AM183" s="41"/>
      <c r="AN183" s="39"/>
      <c r="AO183" s="39"/>
      <c r="AP183" s="39"/>
      <c r="AQ183" s="45"/>
      <c r="AR183" s="39"/>
      <c r="AS183" s="43"/>
      <c r="AT183" s="39"/>
      <c r="AU183" s="43"/>
      <c r="AV183" s="43"/>
      <c r="AW183" s="39"/>
      <c r="AX183" s="39"/>
      <c r="AY183" s="39"/>
      <c r="AZ183" s="41"/>
      <c r="BA183" s="43"/>
      <c r="BB183" s="39"/>
      <c r="BC183" s="39"/>
      <c r="BD183" s="39"/>
      <c r="BE183" s="43"/>
      <c r="BF183" s="39"/>
      <c r="BG183" s="43"/>
      <c r="BH183" s="41"/>
      <c r="BI183" s="39"/>
      <c r="BJ183" s="43"/>
      <c r="BK183" s="43"/>
      <c r="BL183" s="39"/>
      <c r="BM183" s="39"/>
      <c r="BN183" s="43"/>
      <c r="BO183" s="39"/>
      <c r="BP183" s="41"/>
      <c r="BQ183" s="43"/>
      <c r="BR183" s="39"/>
      <c r="BS183" s="43"/>
      <c r="BT183" s="39"/>
      <c r="BU183" s="39"/>
      <c r="BV183" s="39"/>
    </row>
    <row r="184" spans="1:74" s="117" customFormat="1" ht="15.75" customHeight="1" x14ac:dyDescent="0.25">
      <c r="A184" s="125" t="s">
        <v>459</v>
      </c>
      <c r="B184" s="125" t="s">
        <v>460</v>
      </c>
      <c r="C184" s="125" t="s">
        <v>54</v>
      </c>
      <c r="D184" s="39">
        <v>234</v>
      </c>
      <c r="E184" s="67" t="s">
        <v>55</v>
      </c>
      <c r="F184" s="39" t="s">
        <v>1153</v>
      </c>
      <c r="G184" s="39" t="s">
        <v>1154</v>
      </c>
      <c r="H184" s="39" t="s">
        <v>1155</v>
      </c>
      <c r="I184" s="39" t="s">
        <v>1156</v>
      </c>
      <c r="J184" s="39" t="s">
        <v>492</v>
      </c>
      <c r="K184" s="39" t="s">
        <v>493</v>
      </c>
      <c r="L184" s="39" t="s">
        <v>313</v>
      </c>
      <c r="M184" s="42" t="s">
        <v>1157</v>
      </c>
      <c r="N184" s="125">
        <v>81102700</v>
      </c>
      <c r="O184" s="135" t="s">
        <v>1158</v>
      </c>
      <c r="P184" s="131">
        <v>2547493939</v>
      </c>
      <c r="Q184" s="131">
        <v>2547493939</v>
      </c>
      <c r="R184" s="39">
        <v>35823</v>
      </c>
      <c r="S184" s="39" t="s">
        <v>1432</v>
      </c>
      <c r="T184" s="42" t="s">
        <v>448</v>
      </c>
      <c r="U184" s="39"/>
      <c r="V184" s="39"/>
      <c r="W184" s="43"/>
      <c r="X184" s="39"/>
      <c r="Y184" s="39"/>
      <c r="Z184" s="39"/>
      <c r="AA184" s="39"/>
      <c r="AB184" s="39"/>
      <c r="AC184" s="39"/>
      <c r="AD184" s="39"/>
      <c r="AE184" s="39"/>
      <c r="AF184" s="39"/>
      <c r="AG184" s="39"/>
      <c r="AH184" s="39"/>
      <c r="AI184" s="39"/>
      <c r="AJ184" s="39"/>
      <c r="AK184" s="39"/>
      <c r="AL184" s="43"/>
      <c r="AM184" s="41"/>
      <c r="AN184" s="39"/>
      <c r="AO184" s="39"/>
      <c r="AP184" s="39"/>
      <c r="AQ184" s="45"/>
      <c r="AR184" s="39"/>
      <c r="AS184" s="43"/>
      <c r="AT184" s="39"/>
      <c r="AU184" s="43"/>
      <c r="AV184" s="43"/>
      <c r="AW184" s="39"/>
      <c r="AX184" s="39"/>
      <c r="AY184" s="39"/>
      <c r="AZ184" s="41"/>
      <c r="BA184" s="43"/>
      <c r="BB184" s="39"/>
      <c r="BC184" s="39"/>
      <c r="BD184" s="39"/>
      <c r="BE184" s="43"/>
      <c r="BF184" s="39"/>
      <c r="BG184" s="43"/>
      <c r="BH184" s="41"/>
      <c r="BI184" s="39"/>
      <c r="BJ184" s="43"/>
      <c r="BK184" s="43"/>
      <c r="BL184" s="39"/>
      <c r="BM184" s="39"/>
      <c r="BN184" s="43"/>
      <c r="BO184" s="39"/>
      <c r="BP184" s="41"/>
      <c r="BQ184" s="43"/>
      <c r="BR184" s="39"/>
      <c r="BS184" s="43"/>
      <c r="BT184" s="39"/>
      <c r="BU184" s="39"/>
      <c r="BV184" s="39"/>
    </row>
    <row r="185" spans="1:74" s="117" customFormat="1" ht="16.5" customHeight="1" x14ac:dyDescent="0.25">
      <c r="A185" s="180" t="s">
        <v>459</v>
      </c>
      <c r="B185" s="180" t="s">
        <v>460</v>
      </c>
      <c r="C185" s="180" t="s">
        <v>54</v>
      </c>
      <c r="D185" s="39">
        <v>240</v>
      </c>
      <c r="E185" s="67" t="s">
        <v>55</v>
      </c>
      <c r="F185" s="39" t="s">
        <v>1164</v>
      </c>
      <c r="G185" s="39" t="s">
        <v>1163</v>
      </c>
      <c r="H185" s="39" t="s">
        <v>1155</v>
      </c>
      <c r="I185" s="43">
        <v>45044</v>
      </c>
      <c r="J185" s="39" t="s">
        <v>492</v>
      </c>
      <c r="K185" s="42" t="s">
        <v>730</v>
      </c>
      <c r="L185" s="39" t="s">
        <v>652</v>
      </c>
      <c r="M185" s="42" t="s">
        <v>1165</v>
      </c>
      <c r="N185" s="125">
        <v>86101808</v>
      </c>
      <c r="O185" s="135" t="s">
        <v>1166</v>
      </c>
      <c r="P185" s="131">
        <v>100000000</v>
      </c>
      <c r="Q185" s="131">
        <v>100000000</v>
      </c>
      <c r="R185" s="39">
        <v>29423</v>
      </c>
      <c r="S185" s="42" t="s">
        <v>1167</v>
      </c>
      <c r="T185" s="42" t="s">
        <v>448</v>
      </c>
      <c r="U185" s="39"/>
      <c r="V185" s="39"/>
      <c r="W185" s="43"/>
      <c r="X185" s="39"/>
      <c r="Y185" s="39"/>
      <c r="Z185" s="39"/>
      <c r="AA185" s="39"/>
      <c r="AB185" s="39"/>
      <c r="AC185" s="39"/>
      <c r="AD185" s="39"/>
      <c r="AE185" s="39"/>
      <c r="AF185" s="39"/>
      <c r="AG185" s="39"/>
      <c r="AH185" s="39"/>
      <c r="AI185" s="39"/>
      <c r="AJ185" s="39"/>
      <c r="AK185" s="39"/>
      <c r="AL185" s="43"/>
      <c r="AM185" s="41"/>
      <c r="AN185" s="39"/>
      <c r="AO185" s="39"/>
      <c r="AP185" s="39"/>
      <c r="AQ185" s="45"/>
      <c r="AR185" s="39"/>
      <c r="AS185" s="43"/>
      <c r="AT185" s="39"/>
      <c r="AU185" s="43"/>
      <c r="AV185" s="43"/>
      <c r="AW185" s="39"/>
      <c r="AX185" s="39"/>
      <c r="AY185" s="39"/>
      <c r="AZ185" s="41"/>
      <c r="BA185" s="43"/>
      <c r="BB185" s="39"/>
      <c r="BC185" s="39"/>
      <c r="BD185" s="39"/>
      <c r="BE185" s="43"/>
      <c r="BF185" s="39"/>
      <c r="BG185" s="43"/>
      <c r="BH185" s="41"/>
      <c r="BI185" s="39"/>
      <c r="BJ185" s="43"/>
      <c r="BK185" s="43"/>
      <c r="BL185" s="39"/>
      <c r="BM185" s="39"/>
      <c r="BN185" s="43"/>
      <c r="BO185" s="39"/>
      <c r="BP185" s="41"/>
      <c r="BQ185" s="43"/>
      <c r="BR185" s="39"/>
      <c r="BS185" s="43"/>
      <c r="BT185" s="39"/>
      <c r="BU185" s="39"/>
      <c r="BV185" s="39"/>
    </row>
    <row r="186" spans="1:74" s="272" customFormat="1" ht="15" customHeight="1" x14ac:dyDescent="0.25">
      <c r="A186" s="257" t="s">
        <v>459</v>
      </c>
      <c r="B186" s="258" t="s">
        <v>460</v>
      </c>
      <c r="C186" s="259" t="s">
        <v>54</v>
      </c>
      <c r="D186" s="260">
        <v>248</v>
      </c>
      <c r="E186" s="261" t="s">
        <v>221</v>
      </c>
      <c r="F186" s="261" t="s">
        <v>1234</v>
      </c>
      <c r="G186" s="267" t="s">
        <v>1235</v>
      </c>
      <c r="H186" s="260" t="s">
        <v>1155</v>
      </c>
      <c r="I186" s="263">
        <v>45030</v>
      </c>
      <c r="J186" s="260" t="s">
        <v>59</v>
      </c>
      <c r="K186" s="260" t="s">
        <v>948</v>
      </c>
      <c r="L186" s="260" t="s">
        <v>839</v>
      </c>
      <c r="M186" s="261" t="s">
        <v>1236</v>
      </c>
      <c r="N186" s="260" t="s">
        <v>1237</v>
      </c>
      <c r="O186" s="266" t="s">
        <v>1238</v>
      </c>
      <c r="P186" s="266">
        <v>600000000</v>
      </c>
      <c r="Q186" s="266">
        <v>431410000</v>
      </c>
      <c r="R186" s="260">
        <v>29523</v>
      </c>
      <c r="S186" s="260" t="s">
        <v>1167</v>
      </c>
      <c r="T186" s="261" t="s">
        <v>64</v>
      </c>
      <c r="U186" s="261" t="s">
        <v>65</v>
      </c>
      <c r="V186" s="260"/>
      <c r="W186" s="267" t="s">
        <v>1520</v>
      </c>
      <c r="X186" s="260" t="s">
        <v>1407</v>
      </c>
      <c r="Y186" s="269">
        <v>45050</v>
      </c>
      <c r="Z186" s="261" t="s">
        <v>948</v>
      </c>
      <c r="AA186" s="260"/>
      <c r="AB186" s="261" t="s">
        <v>68</v>
      </c>
      <c r="AC186" s="261" t="s">
        <v>69</v>
      </c>
      <c r="AD186" s="260" t="s">
        <v>1521</v>
      </c>
      <c r="AE186" s="260">
        <v>800225340</v>
      </c>
      <c r="AF186" s="260">
        <v>8</v>
      </c>
      <c r="AG186" s="260" t="s">
        <v>517</v>
      </c>
      <c r="AH186" s="261" t="s">
        <v>551</v>
      </c>
      <c r="AI186" s="261" t="s">
        <v>467</v>
      </c>
      <c r="AJ186" s="261" t="s">
        <v>517</v>
      </c>
      <c r="AK186" s="273" t="s">
        <v>517</v>
      </c>
      <c r="AL186" s="273" t="s">
        <v>517</v>
      </c>
      <c r="AM186" s="261">
        <v>83423</v>
      </c>
      <c r="AN186" s="269">
        <v>45051</v>
      </c>
      <c r="AO186" s="266">
        <v>431410000</v>
      </c>
      <c r="AP186" s="260"/>
      <c r="AQ186" s="231"/>
      <c r="AR186" s="260"/>
      <c r="AS186" s="266">
        <v>431410000</v>
      </c>
      <c r="AT186" s="261" t="s">
        <v>478</v>
      </c>
      <c r="AU186" s="260" t="s">
        <v>517</v>
      </c>
      <c r="AV186" s="260" t="s">
        <v>517</v>
      </c>
      <c r="AW186" s="269">
        <v>45051</v>
      </c>
      <c r="AX186" s="269">
        <v>45291</v>
      </c>
      <c r="AY186" s="259">
        <f t="shared" ref="AY186" si="23">(AX186-AW186)</f>
        <v>240</v>
      </c>
      <c r="AZ186" s="270" t="s">
        <v>438</v>
      </c>
      <c r="BA186" s="261">
        <v>51832657</v>
      </c>
      <c r="BB186" s="266"/>
      <c r="BC186" s="267"/>
      <c r="BD186" s="260"/>
      <c r="BE186" s="267"/>
      <c r="BF186" s="260"/>
      <c r="BG186" s="267"/>
      <c r="BH186" s="266"/>
      <c r="BI186" s="267"/>
      <c r="BJ186" s="266">
        <v>431410000</v>
      </c>
      <c r="BK186" s="267"/>
      <c r="BL186" s="267"/>
      <c r="BM186" s="267"/>
      <c r="BN186" s="267"/>
      <c r="BO186" s="260"/>
      <c r="BP186" s="267"/>
      <c r="BQ186" s="267"/>
      <c r="BR186" s="266"/>
      <c r="BS186" s="267"/>
      <c r="BT186" s="261">
        <f t="shared" ref="BT186" si="24">SUM(AY186+BK186+BN186+BQ186)</f>
        <v>240</v>
      </c>
      <c r="BU186" s="267"/>
      <c r="BV186" s="271"/>
    </row>
    <row r="187" spans="1:74" ht="15" customHeight="1" x14ac:dyDescent="0.25">
      <c r="A187" s="181" t="s">
        <v>459</v>
      </c>
      <c r="B187" s="182" t="s">
        <v>460</v>
      </c>
      <c r="C187" s="182" t="s">
        <v>54</v>
      </c>
      <c r="D187" s="39">
        <v>256</v>
      </c>
      <c r="E187" s="39" t="s">
        <v>55</v>
      </c>
      <c r="F187" s="39" t="s">
        <v>1172</v>
      </c>
      <c r="G187" s="39" t="s">
        <v>1171</v>
      </c>
      <c r="H187" s="39" t="s">
        <v>1155</v>
      </c>
      <c r="I187" s="43">
        <v>45044</v>
      </c>
      <c r="J187" s="39" t="s">
        <v>492</v>
      </c>
      <c r="K187" s="39" t="s">
        <v>795</v>
      </c>
      <c r="L187" s="39" t="s">
        <v>652</v>
      </c>
      <c r="M187" s="42" t="s">
        <v>1173</v>
      </c>
      <c r="N187" s="125">
        <v>53101502</v>
      </c>
      <c r="O187" s="135" t="s">
        <v>1174</v>
      </c>
      <c r="P187" s="131">
        <v>850000000</v>
      </c>
      <c r="Q187" s="131">
        <v>850000000</v>
      </c>
      <c r="R187" s="39">
        <v>35023</v>
      </c>
      <c r="S187" s="42" t="s">
        <v>656</v>
      </c>
      <c r="T187" s="42" t="s">
        <v>448</v>
      </c>
      <c r="U187" s="39"/>
      <c r="V187" s="39"/>
      <c r="W187" s="43"/>
      <c r="X187" s="39"/>
      <c r="Y187" s="39"/>
      <c r="Z187" s="39"/>
      <c r="AA187" s="39"/>
      <c r="AB187" s="39"/>
      <c r="AC187" s="39"/>
      <c r="AD187" s="39"/>
      <c r="AE187" s="39"/>
      <c r="AF187" s="39"/>
      <c r="AG187" s="39"/>
      <c r="AH187" s="39"/>
      <c r="AI187" s="39"/>
      <c r="AJ187" s="39"/>
      <c r="AK187" s="39"/>
      <c r="AL187" s="43"/>
      <c r="AM187" s="41"/>
      <c r="AN187" s="39"/>
      <c r="AO187" s="39"/>
      <c r="AP187" s="39"/>
      <c r="AQ187" s="45"/>
      <c r="AR187" s="39"/>
      <c r="AS187" s="43"/>
      <c r="AT187" s="39"/>
      <c r="AU187" s="43"/>
      <c r="AV187" s="43"/>
      <c r="AW187" s="39"/>
      <c r="AX187" s="39"/>
      <c r="AY187" s="38"/>
      <c r="AZ187" s="41"/>
      <c r="BA187" s="43"/>
      <c r="BB187" s="39"/>
      <c r="BC187" s="39"/>
      <c r="BD187" s="39"/>
      <c r="BE187" s="43"/>
      <c r="BF187" s="39"/>
      <c r="BG187" s="43"/>
      <c r="BH187" s="41"/>
      <c r="BI187" s="39"/>
      <c r="BJ187" s="43"/>
      <c r="BK187" s="43"/>
      <c r="BL187" s="39"/>
      <c r="BM187" s="39"/>
      <c r="BN187" s="43"/>
      <c r="BO187" s="39"/>
      <c r="BP187" s="41"/>
      <c r="BQ187" s="43"/>
      <c r="BR187" s="39"/>
      <c r="BS187" s="43"/>
      <c r="BT187" s="39"/>
      <c r="BU187" s="39"/>
      <c r="BV187" s="46"/>
    </row>
    <row r="188" spans="1:74" ht="15" customHeight="1" x14ac:dyDescent="0.25">
      <c r="A188" s="123" t="s">
        <v>459</v>
      </c>
      <c r="B188" s="124" t="s">
        <v>460</v>
      </c>
      <c r="C188" s="124" t="s">
        <v>481</v>
      </c>
      <c r="D188" s="39">
        <v>262</v>
      </c>
      <c r="E188" s="39" t="s">
        <v>409</v>
      </c>
      <c r="F188" s="39" t="s">
        <v>1259</v>
      </c>
      <c r="G188" s="44">
        <v>185513</v>
      </c>
      <c r="H188" s="79"/>
      <c r="I188" s="284"/>
      <c r="J188" s="39" t="s">
        <v>1120</v>
      </c>
      <c r="K188" s="39" t="s">
        <v>1121</v>
      </c>
      <c r="L188" s="125" t="s">
        <v>1260</v>
      </c>
      <c r="M188" s="42" t="s">
        <v>1261</v>
      </c>
      <c r="N188" s="125">
        <v>46182205</v>
      </c>
      <c r="O188" s="41" t="s">
        <v>1262</v>
      </c>
      <c r="P188" s="131">
        <v>20000000</v>
      </c>
      <c r="Q188" s="131">
        <v>20000000</v>
      </c>
      <c r="R188" s="39">
        <v>35223</v>
      </c>
      <c r="S188" s="39" t="s">
        <v>1124</v>
      </c>
      <c r="T188" s="125" t="s">
        <v>64</v>
      </c>
      <c r="U188" s="125" t="s">
        <v>65</v>
      </c>
      <c r="V188" s="39"/>
      <c r="W188" s="126">
        <v>108244</v>
      </c>
      <c r="X188" s="39" t="s">
        <v>1248</v>
      </c>
      <c r="Y188" s="43">
        <v>48693</v>
      </c>
      <c r="Z188" s="39" t="s">
        <v>1125</v>
      </c>
      <c r="AA188" s="39"/>
      <c r="AB188" s="125" t="s">
        <v>68</v>
      </c>
      <c r="AC188" s="125" t="s">
        <v>69</v>
      </c>
      <c r="AD188" s="39" t="s">
        <v>1263</v>
      </c>
      <c r="AE188" s="39">
        <v>10125834</v>
      </c>
      <c r="AF188" s="39">
        <v>1</v>
      </c>
      <c r="AG188" s="39" t="s">
        <v>517</v>
      </c>
      <c r="AH188" s="39"/>
      <c r="AI188" s="39"/>
      <c r="AJ188" s="39"/>
      <c r="AK188" s="39" t="s">
        <v>517</v>
      </c>
      <c r="AL188" s="43" t="s">
        <v>517</v>
      </c>
      <c r="AM188" s="44">
        <v>75823</v>
      </c>
      <c r="AN188" s="43">
        <v>45040</v>
      </c>
      <c r="AO188" s="129">
        <v>10043300</v>
      </c>
      <c r="AP188" s="39"/>
      <c r="AQ188" s="45"/>
      <c r="AR188" s="39"/>
      <c r="AS188" s="176">
        <f>SUM(AO188+AP188+AQ188+AR188)</f>
        <v>10043300</v>
      </c>
      <c r="AT188" s="39" t="s">
        <v>551</v>
      </c>
      <c r="AU188" s="43"/>
      <c r="AV188" s="125" t="s">
        <v>517</v>
      </c>
      <c r="AW188" s="43">
        <v>45040</v>
      </c>
      <c r="AX188" s="43">
        <v>45068</v>
      </c>
      <c r="AY188" s="38">
        <f>(AX188-AW188)</f>
        <v>28</v>
      </c>
      <c r="AZ188" s="41" t="s">
        <v>1264</v>
      </c>
      <c r="BA188" s="125">
        <v>52813239</v>
      </c>
      <c r="BB188" s="39"/>
      <c r="BC188" s="39"/>
      <c r="BD188" s="39"/>
      <c r="BE188" s="43"/>
      <c r="BF188" s="39"/>
      <c r="BG188" s="43"/>
      <c r="BH188" s="41"/>
      <c r="BI188" s="39"/>
      <c r="BJ188" s="127">
        <f>SUM(AS188+BB188+BD188+BF188-BH188)</f>
        <v>10043300</v>
      </c>
      <c r="BK188" s="43"/>
      <c r="BL188" s="39"/>
      <c r="BM188" s="39"/>
      <c r="BN188" s="43"/>
      <c r="BO188" s="39"/>
      <c r="BP188" s="41"/>
      <c r="BQ188" s="43"/>
      <c r="BR188" s="39"/>
      <c r="BS188" s="43"/>
      <c r="BT188" s="39">
        <f>SUM(AY188+BK188+BN188+BQ188)</f>
        <v>28</v>
      </c>
      <c r="BU188" s="39"/>
      <c r="BV188" s="46"/>
    </row>
    <row r="189" spans="1:74" ht="15" customHeight="1" x14ac:dyDescent="0.25">
      <c r="A189" s="123" t="s">
        <v>459</v>
      </c>
      <c r="B189" s="124" t="s">
        <v>460</v>
      </c>
      <c r="C189" s="124" t="s">
        <v>481</v>
      </c>
      <c r="D189" s="39">
        <v>262</v>
      </c>
      <c r="E189" s="39" t="s">
        <v>409</v>
      </c>
      <c r="F189" s="39" t="s">
        <v>1265</v>
      </c>
      <c r="G189" s="44">
        <v>105794</v>
      </c>
      <c r="H189" s="79"/>
      <c r="I189" s="284"/>
      <c r="J189" s="39" t="s">
        <v>1120</v>
      </c>
      <c r="K189" s="39" t="s">
        <v>1121</v>
      </c>
      <c r="L189" s="125" t="s">
        <v>1260</v>
      </c>
      <c r="M189" s="42" t="s">
        <v>1261</v>
      </c>
      <c r="N189" s="125">
        <v>46182205</v>
      </c>
      <c r="O189" s="41" t="s">
        <v>1262</v>
      </c>
      <c r="P189" s="131">
        <v>20000000</v>
      </c>
      <c r="Q189" s="131">
        <v>20000000</v>
      </c>
      <c r="R189" s="39">
        <v>35223</v>
      </c>
      <c r="S189" s="39" t="s">
        <v>1124</v>
      </c>
      <c r="T189" s="125" t="s">
        <v>64</v>
      </c>
      <c r="U189" s="125" t="s">
        <v>65</v>
      </c>
      <c r="V189" s="39"/>
      <c r="W189" s="126">
        <v>108175</v>
      </c>
      <c r="X189" s="39" t="s">
        <v>1248</v>
      </c>
      <c r="Y189" s="43">
        <v>45041</v>
      </c>
      <c r="Z189" s="39" t="s">
        <v>1125</v>
      </c>
      <c r="AA189" s="39"/>
      <c r="AB189" s="125" t="s">
        <v>68</v>
      </c>
      <c r="AC189" s="125" t="s">
        <v>69</v>
      </c>
      <c r="AD189" s="42" t="s">
        <v>1081</v>
      </c>
      <c r="AE189" s="39">
        <v>830037946</v>
      </c>
      <c r="AF189" s="39">
        <v>3</v>
      </c>
      <c r="AG189" s="39" t="s">
        <v>517</v>
      </c>
      <c r="AH189" s="39"/>
      <c r="AI189" s="39"/>
      <c r="AJ189" s="39"/>
      <c r="AK189" s="39" t="s">
        <v>517</v>
      </c>
      <c r="AL189" s="43" t="s">
        <v>517</v>
      </c>
      <c r="AM189" s="44">
        <v>75223</v>
      </c>
      <c r="AN189" s="43">
        <v>45037</v>
      </c>
      <c r="AO189" s="129">
        <v>9871050</v>
      </c>
      <c r="AP189" s="39"/>
      <c r="AQ189" s="45"/>
      <c r="AR189" s="39"/>
      <c r="AS189" s="176">
        <f>SUM(AO189+AP189+AQ189+AR189)</f>
        <v>9871050</v>
      </c>
      <c r="AT189" s="39" t="s">
        <v>551</v>
      </c>
      <c r="AU189" s="43"/>
      <c r="AV189" s="125" t="s">
        <v>517</v>
      </c>
      <c r="AW189" s="43">
        <v>45037</v>
      </c>
      <c r="AX189" s="43">
        <v>45068</v>
      </c>
      <c r="AY189" s="38">
        <f>(AX189-AW189)</f>
        <v>31</v>
      </c>
      <c r="AZ189" s="41" t="s">
        <v>1264</v>
      </c>
      <c r="BA189" s="125">
        <v>52813239</v>
      </c>
      <c r="BB189" s="39"/>
      <c r="BC189" s="39"/>
      <c r="BD189" s="39"/>
      <c r="BE189" s="43"/>
      <c r="BF189" s="39"/>
      <c r="BG189" s="43"/>
      <c r="BH189" s="41"/>
      <c r="BI189" s="39"/>
      <c r="BJ189" s="127">
        <f>SUM(AS189+BB189+BD189+BF189-BH189)</f>
        <v>9871050</v>
      </c>
      <c r="BK189" s="43"/>
      <c r="BL189" s="39"/>
      <c r="BM189" s="39"/>
      <c r="BN189" s="43"/>
      <c r="BO189" s="39"/>
      <c r="BP189" s="41"/>
      <c r="BQ189" s="43"/>
      <c r="BR189" s="39"/>
      <c r="BS189" s="43"/>
      <c r="BT189" s="39">
        <f>SUM(AY189+BK189+BN189+BQ189)</f>
        <v>31</v>
      </c>
      <c r="BU189" s="39"/>
      <c r="BV189" s="46"/>
    </row>
    <row r="190" spans="1:74" s="59" customFormat="1" ht="15" customHeight="1" x14ac:dyDescent="0.25">
      <c r="A190" s="159" t="s">
        <v>459</v>
      </c>
      <c r="B190" s="124" t="s">
        <v>460</v>
      </c>
      <c r="C190" s="125" t="s">
        <v>481</v>
      </c>
      <c r="D190" s="39">
        <v>264</v>
      </c>
      <c r="E190" s="39" t="s">
        <v>409</v>
      </c>
      <c r="F190" s="39" t="s">
        <v>1266</v>
      </c>
      <c r="G190" s="44">
        <v>184237</v>
      </c>
      <c r="H190" s="51" t="s">
        <v>1155</v>
      </c>
      <c r="I190" s="43">
        <v>45036</v>
      </c>
      <c r="J190" s="39" t="s">
        <v>1120</v>
      </c>
      <c r="K190" s="39" t="s">
        <v>1121</v>
      </c>
      <c r="L190" s="125" t="s">
        <v>1260</v>
      </c>
      <c r="M190" s="42" t="s">
        <v>1267</v>
      </c>
      <c r="N190" s="125">
        <v>42171912</v>
      </c>
      <c r="O190" s="41" t="s">
        <v>1135</v>
      </c>
      <c r="P190" s="131">
        <v>10000000</v>
      </c>
      <c r="Q190" s="131">
        <v>10000000</v>
      </c>
      <c r="R190" s="39">
        <v>26923</v>
      </c>
      <c r="S190" s="39" t="s">
        <v>1136</v>
      </c>
      <c r="T190" s="125" t="s">
        <v>64</v>
      </c>
      <c r="U190" s="125" t="s">
        <v>65</v>
      </c>
      <c r="V190" s="39"/>
      <c r="W190" s="126">
        <v>108171</v>
      </c>
      <c r="X190" s="39" t="s">
        <v>1248</v>
      </c>
      <c r="Y190" s="43">
        <v>45037</v>
      </c>
      <c r="Z190" s="39" t="s">
        <v>1125</v>
      </c>
      <c r="AA190" s="39"/>
      <c r="AB190" s="125" t="s">
        <v>68</v>
      </c>
      <c r="AC190" s="125" t="s">
        <v>69</v>
      </c>
      <c r="AD190" s="39" t="s">
        <v>659</v>
      </c>
      <c r="AE190" s="165">
        <v>900155107</v>
      </c>
      <c r="AF190" s="39">
        <v>1</v>
      </c>
      <c r="AG190" s="39" t="s">
        <v>517</v>
      </c>
      <c r="AH190" s="39"/>
      <c r="AI190" s="39"/>
      <c r="AJ190" s="39"/>
      <c r="AK190" s="39" t="s">
        <v>517</v>
      </c>
      <c r="AL190" s="43" t="s">
        <v>517</v>
      </c>
      <c r="AM190" s="44">
        <v>75423</v>
      </c>
      <c r="AN190" s="43">
        <v>45040</v>
      </c>
      <c r="AO190" s="129">
        <v>9998150</v>
      </c>
      <c r="AP190" s="39"/>
      <c r="AQ190" s="45"/>
      <c r="AR190" s="39"/>
      <c r="AS190" s="176">
        <f>SUM(AO190+AP190+AQ190+AR190)</f>
        <v>9998150</v>
      </c>
      <c r="AT190" s="39" t="s">
        <v>551</v>
      </c>
      <c r="AU190" s="183"/>
      <c r="AV190" s="125" t="s">
        <v>517</v>
      </c>
      <c r="AW190" s="43">
        <v>45037</v>
      </c>
      <c r="AX190" s="43">
        <v>45128</v>
      </c>
      <c r="AY190" s="39">
        <f>(AX190-AW190)</f>
        <v>91</v>
      </c>
      <c r="AZ190" s="41" t="s">
        <v>1268</v>
      </c>
      <c r="BA190" s="125">
        <v>52665963</v>
      </c>
      <c r="BB190" s="39"/>
      <c r="BC190" s="39"/>
      <c r="BD190" s="39"/>
      <c r="BE190" s="43"/>
      <c r="BF190" s="39"/>
      <c r="BG190" s="43"/>
      <c r="BH190" s="41"/>
      <c r="BI190" s="39"/>
      <c r="BJ190" s="127">
        <f>SUM(AS190+BB190+BD190+BF190-BH190)</f>
        <v>9998150</v>
      </c>
      <c r="BK190" s="43"/>
      <c r="BL190" s="39"/>
      <c r="BM190" s="39"/>
      <c r="BN190" s="43"/>
      <c r="BO190" s="39"/>
      <c r="BP190" s="41"/>
      <c r="BQ190" s="43"/>
      <c r="BR190" s="39"/>
      <c r="BS190" s="43"/>
      <c r="BT190" s="39">
        <f>SUM(AY190+BK190+BN190+BQ190)</f>
        <v>91</v>
      </c>
      <c r="BU190" s="39"/>
      <c r="BV190" s="39"/>
    </row>
    <row r="191" spans="1:74" s="59" customFormat="1" ht="15" customHeight="1" x14ac:dyDescent="0.25">
      <c r="A191" s="184" t="s">
        <v>459</v>
      </c>
      <c r="B191" s="185" t="s">
        <v>460</v>
      </c>
      <c r="C191" s="170" t="s">
        <v>54</v>
      </c>
      <c r="D191" s="170">
        <v>284</v>
      </c>
      <c r="E191" s="79" t="s">
        <v>1178</v>
      </c>
      <c r="F191" s="81" t="s">
        <v>1201</v>
      </c>
      <c r="G191" s="170" t="s">
        <v>1202</v>
      </c>
      <c r="H191" s="170" t="s">
        <v>1155</v>
      </c>
      <c r="I191" s="177">
        <v>45037</v>
      </c>
      <c r="J191" s="170" t="s">
        <v>1188</v>
      </c>
      <c r="K191" s="170" t="s">
        <v>60</v>
      </c>
      <c r="L191" s="81" t="s">
        <v>1203</v>
      </c>
      <c r="M191" s="81" t="s">
        <v>1204</v>
      </c>
      <c r="N191" s="170">
        <v>80161504</v>
      </c>
      <c r="O191" s="170" t="s">
        <v>315</v>
      </c>
      <c r="P191" s="178">
        <v>42500000</v>
      </c>
      <c r="Q191" s="178">
        <v>42500000</v>
      </c>
      <c r="R191" s="170">
        <v>32423</v>
      </c>
      <c r="S191" s="170" t="s">
        <v>89</v>
      </c>
      <c r="T191" s="170" t="s">
        <v>64</v>
      </c>
      <c r="U191" s="170" t="s">
        <v>1193</v>
      </c>
      <c r="V191" s="170"/>
      <c r="W191" s="170" t="s">
        <v>1205</v>
      </c>
      <c r="X191" s="170" t="s">
        <v>1155</v>
      </c>
      <c r="Y191" s="78">
        <v>45040</v>
      </c>
      <c r="Z191" s="170" t="s">
        <v>60</v>
      </c>
      <c r="AA191" s="170"/>
      <c r="AB191" s="170" t="s">
        <v>68</v>
      </c>
      <c r="AC191" s="170" t="s">
        <v>1196</v>
      </c>
      <c r="AD191" s="170" t="s">
        <v>1206</v>
      </c>
      <c r="AE191" s="170">
        <v>52350202</v>
      </c>
      <c r="AF191" s="170"/>
      <c r="AG191" s="170" t="s">
        <v>1207</v>
      </c>
      <c r="AH191" s="170"/>
      <c r="AI191" s="170"/>
      <c r="AJ191" s="170"/>
      <c r="AK191" s="151">
        <v>28500</v>
      </c>
      <c r="AL191" s="170">
        <v>45</v>
      </c>
      <c r="AM191" s="170">
        <v>76123</v>
      </c>
      <c r="AN191" s="151">
        <v>45041</v>
      </c>
      <c r="AO191" s="170">
        <v>42500000</v>
      </c>
      <c r="AP191" s="170"/>
      <c r="AQ191" s="170"/>
      <c r="AR191" s="170"/>
      <c r="AS191" s="170">
        <v>42500000</v>
      </c>
      <c r="AT191" s="170" t="s">
        <v>297</v>
      </c>
      <c r="AU191" s="186">
        <v>45041</v>
      </c>
      <c r="AV191" s="170" t="s">
        <v>1208</v>
      </c>
      <c r="AW191" s="179">
        <v>45040</v>
      </c>
      <c r="AX191" s="151">
        <v>45291</v>
      </c>
      <c r="AY191" s="170">
        <v>246</v>
      </c>
      <c r="AZ191" s="170" t="s">
        <v>1209</v>
      </c>
      <c r="BA191" s="170">
        <v>52544180</v>
      </c>
      <c r="BB191" s="170"/>
      <c r="BC191" s="170"/>
      <c r="BD191" s="170"/>
      <c r="BE191" s="170"/>
      <c r="BF191" s="170"/>
      <c r="BG191" s="170"/>
      <c r="BH191" s="170"/>
      <c r="BI191" s="170"/>
      <c r="BJ191" s="170">
        <v>42500000</v>
      </c>
      <c r="BK191" s="170"/>
      <c r="BL191" s="170"/>
      <c r="BM191" s="170"/>
      <c r="BN191" s="170"/>
      <c r="BO191" s="170"/>
      <c r="BP191" s="170"/>
      <c r="BQ191" s="170"/>
      <c r="BR191" s="170"/>
      <c r="BS191" s="170"/>
      <c r="BT191" s="170"/>
      <c r="BU191" s="170"/>
      <c r="BV191" s="170"/>
    </row>
    <row r="192" spans="1:74" s="59" customFormat="1" ht="15" customHeight="1" x14ac:dyDescent="0.25">
      <c r="A192" s="187" t="s">
        <v>459</v>
      </c>
      <c r="B192" s="182" t="s">
        <v>460</v>
      </c>
      <c r="C192" s="180" t="s">
        <v>54</v>
      </c>
      <c r="D192" s="39">
        <v>286</v>
      </c>
      <c r="E192" s="39" t="s">
        <v>55</v>
      </c>
      <c r="F192" s="39" t="s">
        <v>1168</v>
      </c>
      <c r="G192" s="39" t="s">
        <v>1433</v>
      </c>
      <c r="H192" s="39" t="s">
        <v>1155</v>
      </c>
      <c r="I192" s="43">
        <v>45044</v>
      </c>
      <c r="J192" s="39" t="s">
        <v>492</v>
      </c>
      <c r="K192" s="42" t="s">
        <v>730</v>
      </c>
      <c r="L192" s="39" t="s">
        <v>61</v>
      </c>
      <c r="M192" s="42" t="s">
        <v>1169</v>
      </c>
      <c r="N192" s="125">
        <v>72101500</v>
      </c>
      <c r="O192" s="135" t="s">
        <v>1170</v>
      </c>
      <c r="P192" s="131">
        <v>300000000</v>
      </c>
      <c r="Q192" s="131">
        <v>269800000</v>
      </c>
      <c r="R192" s="39">
        <v>32823</v>
      </c>
      <c r="S192" s="42" t="s">
        <v>309</v>
      </c>
      <c r="T192" s="42" t="s">
        <v>448</v>
      </c>
      <c r="U192" s="39"/>
      <c r="V192" s="39"/>
      <c r="W192" s="43"/>
      <c r="X192" s="39"/>
      <c r="Y192" s="39"/>
      <c r="Z192" s="39"/>
      <c r="AA192" s="39"/>
      <c r="AB192" s="39"/>
      <c r="AC192" s="39"/>
      <c r="AD192" s="39"/>
      <c r="AE192" s="39"/>
      <c r="AF192" s="39"/>
      <c r="AG192" s="39"/>
      <c r="AH192" s="39"/>
      <c r="AI192" s="39"/>
      <c r="AJ192" s="39"/>
      <c r="AK192" s="39"/>
      <c r="AL192" s="43"/>
      <c r="AM192" s="41"/>
      <c r="AN192" s="39"/>
      <c r="AO192" s="39"/>
      <c r="AP192" s="39"/>
      <c r="AQ192" s="45"/>
      <c r="AR192" s="39"/>
      <c r="AS192" s="43"/>
      <c r="AT192" s="39"/>
      <c r="AU192" s="183"/>
      <c r="AV192" s="43"/>
      <c r="AW192" s="39"/>
      <c r="AX192" s="39"/>
      <c r="AY192" s="39"/>
      <c r="AZ192" s="41"/>
      <c r="BA192" s="43"/>
      <c r="BB192" s="39"/>
      <c r="BC192" s="39"/>
      <c r="BD192" s="39"/>
      <c r="BE192" s="43"/>
      <c r="BF192" s="39"/>
      <c r="BG192" s="43"/>
      <c r="BH192" s="41"/>
      <c r="BI192" s="39"/>
      <c r="BJ192" s="43"/>
      <c r="BK192" s="43"/>
      <c r="BL192" s="39"/>
      <c r="BM192" s="39"/>
      <c r="BN192" s="43"/>
      <c r="BO192" s="39"/>
      <c r="BP192" s="41"/>
      <c r="BQ192" s="43"/>
      <c r="BR192" s="39"/>
      <c r="BS192" s="43"/>
      <c r="BT192" s="39"/>
      <c r="BU192" s="39"/>
      <c r="BV192" s="39"/>
    </row>
    <row r="193" spans="1:74" s="59" customFormat="1" ht="15" customHeight="1" x14ac:dyDescent="0.25">
      <c r="A193" s="184" t="s">
        <v>459</v>
      </c>
      <c r="B193" s="185" t="s">
        <v>460</v>
      </c>
      <c r="C193" s="170" t="s">
        <v>54</v>
      </c>
      <c r="D193" s="170">
        <v>287</v>
      </c>
      <c r="E193" s="79" t="s">
        <v>1178</v>
      </c>
      <c r="F193" s="81" t="s">
        <v>1210</v>
      </c>
      <c r="G193" s="170" t="s">
        <v>1211</v>
      </c>
      <c r="H193" s="170" t="s">
        <v>1155</v>
      </c>
      <c r="I193" s="177">
        <v>45037</v>
      </c>
      <c r="J193" s="170" t="s">
        <v>1188</v>
      </c>
      <c r="K193" s="170" t="s">
        <v>60</v>
      </c>
      <c r="L193" s="81" t="s">
        <v>1212</v>
      </c>
      <c r="M193" s="81" t="s">
        <v>1213</v>
      </c>
      <c r="N193" s="170">
        <v>811115</v>
      </c>
      <c r="O193" s="170" t="s">
        <v>1214</v>
      </c>
      <c r="P193" s="178">
        <v>85000000</v>
      </c>
      <c r="Q193" s="178">
        <v>85000000</v>
      </c>
      <c r="R193" s="170">
        <v>32623</v>
      </c>
      <c r="S193" s="170" t="s">
        <v>89</v>
      </c>
      <c r="T193" s="170" t="s">
        <v>64</v>
      </c>
      <c r="U193" s="170" t="s">
        <v>1193</v>
      </c>
      <c r="V193" s="170"/>
      <c r="W193" s="170" t="s">
        <v>1215</v>
      </c>
      <c r="X193" s="170" t="s">
        <v>1155</v>
      </c>
      <c r="Y193" s="78">
        <v>45041</v>
      </c>
      <c r="Z193" s="170" t="s">
        <v>60</v>
      </c>
      <c r="AA193" s="170"/>
      <c r="AB193" s="170" t="s">
        <v>68</v>
      </c>
      <c r="AC193" s="170" t="s">
        <v>1196</v>
      </c>
      <c r="AD193" s="170" t="s">
        <v>1216</v>
      </c>
      <c r="AE193" s="170">
        <v>53165790</v>
      </c>
      <c r="AF193" s="170"/>
      <c r="AG193" s="170" t="s">
        <v>755</v>
      </c>
      <c r="AH193" s="170"/>
      <c r="AI193" s="170"/>
      <c r="AJ193" s="170"/>
      <c r="AK193" s="151">
        <v>31145</v>
      </c>
      <c r="AL193" s="170">
        <v>38</v>
      </c>
      <c r="AM193" s="170">
        <v>76723</v>
      </c>
      <c r="AN193" s="151">
        <v>45041</v>
      </c>
      <c r="AO193" s="170">
        <v>85000000</v>
      </c>
      <c r="AP193" s="170"/>
      <c r="AQ193" s="170"/>
      <c r="AR193" s="170"/>
      <c r="AS193" s="170">
        <v>85000000</v>
      </c>
      <c r="AT193" s="170" t="s">
        <v>297</v>
      </c>
      <c r="AU193" s="151">
        <v>45041</v>
      </c>
      <c r="AV193" s="170" t="s">
        <v>1208</v>
      </c>
      <c r="AW193" s="179">
        <v>45041</v>
      </c>
      <c r="AX193" s="151">
        <v>45291</v>
      </c>
      <c r="AY193" s="170">
        <v>246</v>
      </c>
      <c r="AZ193" s="170" t="s">
        <v>1217</v>
      </c>
      <c r="BA193" s="170">
        <v>19498970</v>
      </c>
      <c r="BB193" s="170"/>
      <c r="BC193" s="170"/>
      <c r="BD193" s="170"/>
      <c r="BE193" s="170"/>
      <c r="BF193" s="170"/>
      <c r="BG193" s="170"/>
      <c r="BH193" s="170"/>
      <c r="BI193" s="170"/>
      <c r="BJ193" s="170">
        <v>85000000</v>
      </c>
      <c r="BK193" s="170"/>
      <c r="BL193" s="170"/>
      <c r="BM193" s="170"/>
      <c r="BN193" s="170"/>
      <c r="BO193" s="170"/>
      <c r="BP193" s="170"/>
      <c r="BQ193" s="170"/>
      <c r="BR193" s="170"/>
      <c r="BS193" s="170"/>
      <c r="BT193" s="170"/>
      <c r="BU193" s="170"/>
      <c r="BV193" s="170"/>
    </row>
    <row r="194" spans="1:74" s="238" customFormat="1" ht="15" customHeight="1" x14ac:dyDescent="0.25">
      <c r="A194" s="276" t="s">
        <v>459</v>
      </c>
      <c r="B194" s="277" t="s">
        <v>460</v>
      </c>
      <c r="C194" s="239" t="s">
        <v>54</v>
      </c>
      <c r="D194" s="239">
        <v>288</v>
      </c>
      <c r="E194" s="278" t="s">
        <v>1178</v>
      </c>
      <c r="F194" s="279" t="s">
        <v>1218</v>
      </c>
      <c r="G194" s="239" t="s">
        <v>1219</v>
      </c>
      <c r="H194" s="239" t="s">
        <v>1155</v>
      </c>
      <c r="I194" s="280">
        <v>45044</v>
      </c>
      <c r="J194" s="239" t="s">
        <v>1188</v>
      </c>
      <c r="K194" s="239" t="s">
        <v>1189</v>
      </c>
      <c r="L194" s="279" t="s">
        <v>1203</v>
      </c>
      <c r="M194" s="279" t="s">
        <v>1220</v>
      </c>
      <c r="N194" s="239">
        <v>861116</v>
      </c>
      <c r="O194" s="239" t="s">
        <v>1221</v>
      </c>
      <c r="P194" s="281">
        <v>200000000</v>
      </c>
      <c r="Q194" s="281">
        <v>195267045</v>
      </c>
      <c r="R194" s="239">
        <v>33723</v>
      </c>
      <c r="S194" s="239" t="s">
        <v>1167</v>
      </c>
      <c r="T194" s="239" t="s">
        <v>64</v>
      </c>
      <c r="U194" s="245" t="s">
        <v>1193</v>
      </c>
      <c r="V194" s="239"/>
      <c r="W194" s="245" t="s">
        <v>1479</v>
      </c>
      <c r="X194" s="245" t="s">
        <v>1407</v>
      </c>
      <c r="Y194" s="282">
        <v>45065</v>
      </c>
      <c r="Z194" s="245" t="s">
        <v>1189</v>
      </c>
      <c r="AA194" s="239"/>
      <c r="AB194" s="245" t="s">
        <v>68</v>
      </c>
      <c r="AC194" s="245" t="s">
        <v>1196</v>
      </c>
      <c r="AD194" s="245" t="s">
        <v>1480</v>
      </c>
      <c r="AE194" s="239">
        <v>899999230</v>
      </c>
      <c r="AF194" s="239">
        <v>7</v>
      </c>
      <c r="AG194" s="239"/>
      <c r="AH194" s="239"/>
      <c r="AI194" s="239"/>
      <c r="AJ194" s="239"/>
      <c r="AK194" s="239"/>
      <c r="AL194" s="239"/>
      <c r="AM194" s="239">
        <v>91323</v>
      </c>
      <c r="AN194" s="283">
        <v>45070</v>
      </c>
      <c r="AO194" s="239">
        <v>195267045</v>
      </c>
      <c r="AP194" s="239"/>
      <c r="AQ194" s="239"/>
      <c r="AR194" s="239"/>
      <c r="AS194" s="246">
        <v>195267045</v>
      </c>
      <c r="AT194" s="245" t="s">
        <v>551</v>
      </c>
      <c r="AU194" s="239"/>
      <c r="AV194" s="239"/>
      <c r="AW194" s="283">
        <v>45071</v>
      </c>
      <c r="AX194" s="283">
        <v>45291</v>
      </c>
      <c r="AY194" s="239"/>
      <c r="AZ194" s="245" t="s">
        <v>1481</v>
      </c>
      <c r="BA194" s="239">
        <v>51832657</v>
      </c>
      <c r="BB194" s="239"/>
      <c r="BC194" s="239"/>
      <c r="BD194" s="239"/>
      <c r="BE194" s="239"/>
      <c r="BF194" s="239"/>
      <c r="BG194" s="239"/>
      <c r="BH194" s="239"/>
      <c r="BI194" s="239"/>
      <c r="BJ194" s="256">
        <v>195267045</v>
      </c>
      <c r="BK194" s="239"/>
      <c r="BL194" s="239"/>
      <c r="BM194" s="239"/>
      <c r="BN194" s="239"/>
      <c r="BO194" s="239"/>
      <c r="BP194" s="239"/>
      <c r="BQ194" s="239"/>
      <c r="BR194" s="239"/>
      <c r="BS194" s="239"/>
      <c r="BT194" s="239"/>
      <c r="BU194" s="239"/>
      <c r="BV194" s="239"/>
    </row>
    <row r="195" spans="1:74" s="59" customFormat="1" ht="15" customHeight="1" x14ac:dyDescent="0.25">
      <c r="A195" s="159" t="s">
        <v>459</v>
      </c>
      <c r="B195" s="124" t="s">
        <v>460</v>
      </c>
      <c r="C195" s="125" t="s">
        <v>481</v>
      </c>
      <c r="D195" s="39">
        <v>297</v>
      </c>
      <c r="E195" s="67" t="s">
        <v>409</v>
      </c>
      <c r="F195" s="39" t="s">
        <v>1389</v>
      </c>
      <c r="G195" s="44">
        <v>148807</v>
      </c>
      <c r="H195" s="51" t="s">
        <v>1155</v>
      </c>
      <c r="I195" s="280">
        <v>45034</v>
      </c>
      <c r="J195" s="39" t="s">
        <v>1120</v>
      </c>
      <c r="K195" s="39" t="s">
        <v>1121</v>
      </c>
      <c r="L195" s="125" t="s">
        <v>766</v>
      </c>
      <c r="M195" s="42" t="s">
        <v>1257</v>
      </c>
      <c r="N195" s="125">
        <v>76111501</v>
      </c>
      <c r="O195" s="135" t="s">
        <v>1138</v>
      </c>
      <c r="P195" s="131">
        <v>28203631.800000001</v>
      </c>
      <c r="Q195" s="131">
        <v>28203631.800000001</v>
      </c>
      <c r="R195" s="39">
        <v>28623</v>
      </c>
      <c r="S195" s="42" t="s">
        <v>1037</v>
      </c>
      <c r="T195" s="51" t="s">
        <v>1185</v>
      </c>
      <c r="U195" s="125"/>
      <c r="V195" s="39"/>
      <c r="W195" s="126"/>
      <c r="X195" s="39"/>
      <c r="Y195" s="43"/>
      <c r="Z195" s="39"/>
      <c r="AA195" s="39"/>
      <c r="AB195" s="39"/>
      <c r="AC195" s="39"/>
      <c r="AD195" s="132"/>
      <c r="AE195" s="39"/>
      <c r="AF195" s="39"/>
      <c r="AG195" s="39"/>
      <c r="AH195" s="39"/>
      <c r="AI195" s="39"/>
      <c r="AJ195" s="39"/>
      <c r="AK195" s="39" t="s">
        <v>517</v>
      </c>
      <c r="AL195" s="43" t="s">
        <v>517</v>
      </c>
      <c r="AM195" s="42"/>
      <c r="AN195" s="39"/>
      <c r="AO195" s="175" t="s">
        <v>1258</v>
      </c>
      <c r="AP195" s="39"/>
      <c r="AQ195" s="45"/>
      <c r="AR195" s="39"/>
      <c r="AS195" s="176" t="e">
        <f>SUM(AO195+AP195+AQ195+AR195)</f>
        <v>#VALUE!</v>
      </c>
      <c r="AT195" s="39"/>
      <c r="AU195" s="171" t="s">
        <v>1253</v>
      </c>
      <c r="AV195" s="125" t="s">
        <v>74</v>
      </c>
      <c r="AW195" s="43"/>
      <c r="AX195" s="43"/>
      <c r="AY195" s="125">
        <f>(AX195-AW195)</f>
        <v>0</v>
      </c>
      <c r="AZ195" s="172"/>
      <c r="BA195" s="43"/>
      <c r="BB195" s="39"/>
      <c r="BC195" s="39"/>
      <c r="BD195" s="39"/>
      <c r="BE195" s="43"/>
      <c r="BF195" s="39"/>
      <c r="BG195" s="43"/>
      <c r="BH195" s="41"/>
      <c r="BI195" s="39"/>
      <c r="BJ195" s="127" t="e">
        <f>SUM(AS195+BB195+BD195+BF195-BH195)</f>
        <v>#VALUE!</v>
      </c>
      <c r="BK195" s="43"/>
      <c r="BL195" s="39"/>
      <c r="BM195" s="39"/>
      <c r="BN195" s="43"/>
      <c r="BO195" s="39"/>
      <c r="BP195" s="41"/>
      <c r="BQ195" s="43"/>
      <c r="BR195" s="39"/>
      <c r="BS195" s="43"/>
      <c r="BT195" s="39">
        <f>SUM(AY195+BK195+BN195+BQ195)</f>
        <v>0</v>
      </c>
      <c r="BU195" s="39"/>
      <c r="BV195" s="39"/>
    </row>
    <row r="196" spans="1:74" ht="15" customHeight="1" x14ac:dyDescent="0.25">
      <c r="A196" s="123" t="s">
        <v>459</v>
      </c>
      <c r="B196" s="124" t="s">
        <v>460</v>
      </c>
      <c r="C196" s="124" t="s">
        <v>481</v>
      </c>
      <c r="D196" s="39">
        <v>134</v>
      </c>
      <c r="E196" s="39" t="s">
        <v>409</v>
      </c>
      <c r="F196" s="67" t="s">
        <v>1254</v>
      </c>
      <c r="G196" s="39">
        <v>149238</v>
      </c>
      <c r="H196" s="51" t="s">
        <v>1155</v>
      </c>
      <c r="I196" s="280">
        <v>45037</v>
      </c>
      <c r="J196" s="39" t="s">
        <v>1120</v>
      </c>
      <c r="K196" s="39" t="s">
        <v>1121</v>
      </c>
      <c r="L196" s="125" t="s">
        <v>766</v>
      </c>
      <c r="M196" s="70" t="s">
        <v>1255</v>
      </c>
      <c r="N196" s="125">
        <v>76111501</v>
      </c>
      <c r="O196" s="135" t="s">
        <v>1138</v>
      </c>
      <c r="P196" s="131">
        <v>157457711.08000001</v>
      </c>
      <c r="Q196" s="131">
        <v>157457711.08000001</v>
      </c>
      <c r="R196" s="39">
        <v>28623</v>
      </c>
      <c r="S196" s="42" t="s">
        <v>1037</v>
      </c>
      <c r="T196" s="51" t="s">
        <v>1185</v>
      </c>
      <c r="U196" s="125"/>
      <c r="V196" s="39"/>
      <c r="W196" s="126"/>
      <c r="X196" s="39"/>
      <c r="Y196" s="43"/>
      <c r="Z196" s="39"/>
      <c r="AA196" s="39"/>
      <c r="AB196" s="39"/>
      <c r="AC196" s="39"/>
      <c r="AD196" s="132"/>
      <c r="AE196" s="39"/>
      <c r="AF196" s="39"/>
      <c r="AG196" s="39"/>
      <c r="AH196" s="39"/>
      <c r="AI196" s="39"/>
      <c r="AJ196" s="39"/>
      <c r="AK196" s="39" t="s">
        <v>517</v>
      </c>
      <c r="AL196" s="43" t="s">
        <v>517</v>
      </c>
      <c r="AM196" s="42"/>
      <c r="AN196" s="39"/>
      <c r="AO196" s="175" t="s">
        <v>1256</v>
      </c>
      <c r="AP196" s="39"/>
      <c r="AQ196" s="45"/>
      <c r="AR196" s="39"/>
      <c r="AS196" s="176" t="e">
        <f>SUM(AO196+AP196+AQ196+AR196)</f>
        <v>#VALUE!</v>
      </c>
      <c r="AT196" s="39"/>
      <c r="AU196" s="171" t="s">
        <v>1253</v>
      </c>
      <c r="AV196" s="125" t="s">
        <v>74</v>
      </c>
      <c r="AW196" s="43"/>
      <c r="AX196" s="43"/>
      <c r="AY196" s="124">
        <f>(AX196-AW196)</f>
        <v>0</v>
      </c>
      <c r="AZ196" s="133"/>
      <c r="BA196" s="43"/>
      <c r="BB196" s="39"/>
      <c r="BC196" s="39"/>
      <c r="BD196" s="39"/>
      <c r="BE196" s="43"/>
      <c r="BF196" s="39"/>
      <c r="BG196" s="43"/>
      <c r="BH196" s="41"/>
      <c r="BI196" s="39"/>
      <c r="BJ196" s="127"/>
      <c r="BK196" s="43"/>
      <c r="BL196" s="39"/>
      <c r="BM196" s="39"/>
      <c r="BN196" s="43"/>
      <c r="BO196" s="39"/>
      <c r="BP196" s="41"/>
      <c r="BQ196" s="43"/>
      <c r="BR196" s="39"/>
      <c r="BS196" s="43"/>
      <c r="BT196" s="39">
        <f>SUM(AY196+BK196+BN196+BQ196)</f>
        <v>0</v>
      </c>
      <c r="BU196" s="39"/>
      <c r="BV196" s="46"/>
    </row>
    <row r="197" spans="1:74" s="76" customFormat="1" ht="15" hidden="1" customHeight="1" x14ac:dyDescent="0.25">
      <c r="A197" s="74" t="s">
        <v>459</v>
      </c>
      <c r="B197" s="74" t="s">
        <v>460</v>
      </c>
      <c r="C197" s="75" t="s">
        <v>54</v>
      </c>
      <c r="D197" s="188">
        <v>183</v>
      </c>
      <c r="E197" s="79" t="s">
        <v>345</v>
      </c>
      <c r="F197" s="188" t="s">
        <v>1344</v>
      </c>
      <c r="G197" s="151" t="s">
        <v>1345</v>
      </c>
      <c r="H197" s="79" t="s">
        <v>1346</v>
      </c>
      <c r="I197" s="280">
        <v>45041</v>
      </c>
      <c r="J197" s="79" t="s">
        <v>1347</v>
      </c>
      <c r="K197" s="79"/>
      <c r="L197" s="79" t="s">
        <v>61</v>
      </c>
      <c r="M197" s="79" t="s">
        <v>1348</v>
      </c>
      <c r="N197" s="79">
        <v>78181507</v>
      </c>
      <c r="O197" s="152" t="s">
        <v>1230</v>
      </c>
      <c r="P197" s="152">
        <v>190000000</v>
      </c>
      <c r="Q197" s="152">
        <v>190000000</v>
      </c>
      <c r="R197" s="79">
        <v>31423</v>
      </c>
      <c r="S197" s="79" t="s">
        <v>500</v>
      </c>
      <c r="T197" s="79" t="s">
        <v>516</v>
      </c>
      <c r="U197" s="79"/>
      <c r="V197" s="79"/>
      <c r="W197" s="151"/>
      <c r="X197" s="79"/>
      <c r="Y197" s="151"/>
      <c r="Z197" s="79"/>
      <c r="AA197" s="79"/>
      <c r="AB197" s="79"/>
      <c r="AC197" s="79"/>
      <c r="AD197" s="79"/>
      <c r="AE197" s="79"/>
      <c r="AF197" s="79"/>
      <c r="AG197" s="79"/>
      <c r="AH197" s="79"/>
      <c r="AK197" s="79"/>
      <c r="AL197" s="163"/>
      <c r="AM197" s="79"/>
      <c r="AN197" s="151"/>
      <c r="AO197" s="152"/>
      <c r="AP197" s="79"/>
      <c r="AQ197" s="153"/>
      <c r="AR197" s="79"/>
      <c r="AS197" s="153"/>
      <c r="AT197" s="79"/>
      <c r="AU197" s="151"/>
      <c r="AV197" s="151"/>
      <c r="AW197" s="151"/>
      <c r="AX197" s="151"/>
      <c r="AY197" s="75"/>
      <c r="AZ197" s="152"/>
      <c r="BA197" s="79"/>
      <c r="BB197" s="152"/>
      <c r="BC197" s="151"/>
      <c r="BD197" s="79"/>
      <c r="BE197" s="151"/>
      <c r="BF197" s="79"/>
      <c r="BG197" s="151"/>
      <c r="BH197" s="152"/>
      <c r="BI197" s="151"/>
      <c r="BJ197" s="152"/>
      <c r="BK197" s="151"/>
      <c r="BL197" s="151"/>
      <c r="BM197" s="151"/>
      <c r="BN197" s="151"/>
      <c r="BO197" s="79"/>
      <c r="BP197" s="151"/>
      <c r="BQ197" s="151"/>
      <c r="BR197" s="152"/>
      <c r="BS197" s="151"/>
      <c r="BT197" s="79"/>
      <c r="BU197" s="151"/>
      <c r="BV197" s="189"/>
    </row>
    <row r="198" spans="1:74" s="76" customFormat="1" ht="15" hidden="1" customHeight="1" x14ac:dyDescent="0.25">
      <c r="A198" s="74" t="s">
        <v>459</v>
      </c>
      <c r="B198" s="74" t="s">
        <v>460</v>
      </c>
      <c r="C198" s="75" t="s">
        <v>54</v>
      </c>
      <c r="D198" s="188">
        <v>76</v>
      </c>
      <c r="E198" s="79" t="s">
        <v>345</v>
      </c>
      <c r="F198" s="188" t="s">
        <v>1349</v>
      </c>
      <c r="G198" s="151" t="s">
        <v>1350</v>
      </c>
      <c r="H198" s="79" t="s">
        <v>1346</v>
      </c>
      <c r="I198" s="280">
        <v>45044</v>
      </c>
      <c r="J198" s="79" t="s">
        <v>1351</v>
      </c>
      <c r="K198" s="79"/>
      <c r="L198" s="79" t="s">
        <v>1352</v>
      </c>
      <c r="M198" s="79" t="s">
        <v>1353</v>
      </c>
      <c r="N198" s="79" t="s">
        <v>1354</v>
      </c>
      <c r="O198" s="152" t="s">
        <v>1355</v>
      </c>
      <c r="P198" s="152">
        <v>300000000</v>
      </c>
      <c r="Q198" s="152">
        <v>231635363</v>
      </c>
      <c r="R198" s="79">
        <v>31323</v>
      </c>
      <c r="S198" s="79" t="s">
        <v>89</v>
      </c>
      <c r="T198" s="79" t="s">
        <v>516</v>
      </c>
      <c r="U198" s="79"/>
      <c r="V198" s="79"/>
      <c r="W198" s="151"/>
      <c r="X198" s="79"/>
      <c r="Y198" s="151"/>
      <c r="Z198" s="79"/>
      <c r="AA198" s="79"/>
      <c r="AB198" s="79"/>
      <c r="AC198" s="79"/>
      <c r="AD198" s="79"/>
      <c r="AE198" s="79"/>
      <c r="AF198" s="79"/>
      <c r="AG198" s="79"/>
      <c r="AH198" s="79"/>
      <c r="AK198" s="79"/>
      <c r="AL198" s="163"/>
      <c r="AM198" s="79"/>
      <c r="AN198" s="151"/>
      <c r="AO198" s="152"/>
      <c r="AP198" s="79"/>
      <c r="AQ198" s="153"/>
      <c r="AR198" s="79"/>
      <c r="AS198" s="153"/>
      <c r="AT198" s="79"/>
      <c r="AU198" s="151"/>
      <c r="AV198" s="151"/>
      <c r="AW198" s="151"/>
      <c r="AX198" s="151"/>
      <c r="AY198" s="75"/>
      <c r="AZ198" s="152"/>
      <c r="BA198" s="79"/>
      <c r="BB198" s="152"/>
      <c r="BC198" s="151"/>
      <c r="BD198" s="79"/>
      <c r="BE198" s="151"/>
      <c r="BF198" s="79"/>
      <c r="BG198" s="151"/>
      <c r="BH198" s="152"/>
      <c r="BI198" s="151"/>
      <c r="BJ198" s="152"/>
      <c r="BK198" s="151"/>
      <c r="BL198" s="151"/>
      <c r="BM198" s="151"/>
      <c r="BN198" s="151"/>
      <c r="BO198" s="79"/>
      <c r="BP198" s="151"/>
      <c r="BQ198" s="151"/>
      <c r="BR198" s="152"/>
      <c r="BS198" s="151"/>
      <c r="BT198" s="79"/>
      <c r="BU198" s="151"/>
      <c r="BV198" s="189"/>
    </row>
    <row r="199" spans="1:74" s="76" customFormat="1" ht="15" hidden="1" customHeight="1" x14ac:dyDescent="0.25">
      <c r="A199" s="74" t="s">
        <v>459</v>
      </c>
      <c r="B199" s="74" t="s">
        <v>460</v>
      </c>
      <c r="C199" s="75" t="s">
        <v>54</v>
      </c>
      <c r="D199" s="188">
        <v>81</v>
      </c>
      <c r="E199" s="79" t="s">
        <v>345</v>
      </c>
      <c r="F199" s="188" t="s">
        <v>1356</v>
      </c>
      <c r="G199" s="151" t="s">
        <v>1357</v>
      </c>
      <c r="H199" s="79" t="s">
        <v>1346</v>
      </c>
      <c r="I199" s="280">
        <v>45043</v>
      </c>
      <c r="J199" s="79" t="s">
        <v>1351</v>
      </c>
      <c r="K199" s="79"/>
      <c r="L199" s="79" t="s">
        <v>1352</v>
      </c>
      <c r="M199" s="79" t="s">
        <v>1358</v>
      </c>
      <c r="N199" s="79" t="s">
        <v>1359</v>
      </c>
      <c r="O199" s="152" t="s">
        <v>783</v>
      </c>
      <c r="P199" s="152">
        <v>368948696</v>
      </c>
      <c r="Q199" s="152">
        <v>368948696</v>
      </c>
      <c r="R199" s="79">
        <v>32923</v>
      </c>
      <c r="S199" s="79" t="s">
        <v>903</v>
      </c>
      <c r="T199" s="79" t="s">
        <v>516</v>
      </c>
      <c r="U199" s="79"/>
      <c r="V199" s="79"/>
      <c r="W199" s="151"/>
      <c r="X199" s="79"/>
      <c r="Y199" s="151"/>
      <c r="Z199" s="79"/>
      <c r="AA199" s="79"/>
      <c r="AB199" s="79"/>
      <c r="AC199" s="79"/>
      <c r="AD199" s="79"/>
      <c r="AE199" s="79"/>
      <c r="AF199" s="79"/>
      <c r="AG199" s="79"/>
      <c r="AH199" s="79"/>
      <c r="AK199" s="79"/>
      <c r="AL199" s="163"/>
      <c r="AM199" s="79"/>
      <c r="AN199" s="151"/>
      <c r="AO199" s="152"/>
      <c r="AP199" s="79"/>
      <c r="AQ199" s="153"/>
      <c r="AR199" s="79"/>
      <c r="AS199" s="153"/>
      <c r="AT199" s="79"/>
      <c r="AU199" s="151"/>
      <c r="AV199" s="151"/>
      <c r="AW199" s="151"/>
      <c r="AX199" s="151"/>
      <c r="AY199" s="75"/>
      <c r="AZ199" s="152"/>
      <c r="BA199" s="79"/>
      <c r="BB199" s="152"/>
      <c r="BC199" s="151"/>
      <c r="BD199" s="79"/>
      <c r="BE199" s="151"/>
      <c r="BF199" s="79"/>
      <c r="BG199" s="151"/>
      <c r="BH199" s="152"/>
      <c r="BI199" s="151"/>
      <c r="BJ199" s="152"/>
      <c r="BK199" s="151"/>
      <c r="BL199" s="151"/>
      <c r="BM199" s="151"/>
      <c r="BN199" s="151"/>
      <c r="BO199" s="79"/>
      <c r="BP199" s="151"/>
      <c r="BQ199" s="151"/>
      <c r="BR199" s="152"/>
      <c r="BS199" s="151"/>
      <c r="BT199" s="79"/>
      <c r="BU199" s="151"/>
      <c r="BV199" s="189"/>
    </row>
    <row r="200" spans="1:74" s="76" customFormat="1" ht="15" hidden="1" customHeight="1" x14ac:dyDescent="0.25">
      <c r="A200" s="74" t="s">
        <v>459</v>
      </c>
      <c r="B200" s="74" t="s">
        <v>460</v>
      </c>
      <c r="C200" s="75" t="s">
        <v>54</v>
      </c>
      <c r="D200" s="188">
        <v>212</v>
      </c>
      <c r="E200" s="79" t="s">
        <v>345</v>
      </c>
      <c r="F200" s="188" t="s">
        <v>1360</v>
      </c>
      <c r="G200" s="151" t="s">
        <v>1361</v>
      </c>
      <c r="H200" s="79" t="s">
        <v>1346</v>
      </c>
      <c r="I200" s="280">
        <v>45044</v>
      </c>
      <c r="J200" s="79" t="s">
        <v>1347</v>
      </c>
      <c r="K200" s="79"/>
      <c r="L200" s="79" t="s">
        <v>61</v>
      </c>
      <c r="M200" s="188" t="s">
        <v>1362</v>
      </c>
      <c r="N200" s="79" t="s">
        <v>1363</v>
      </c>
      <c r="O200" s="152" t="s">
        <v>1364</v>
      </c>
      <c r="P200" s="152">
        <v>500000000</v>
      </c>
      <c r="Q200" s="152">
        <v>500000000</v>
      </c>
      <c r="R200" s="79">
        <v>31923</v>
      </c>
      <c r="S200" s="79" t="s">
        <v>1365</v>
      </c>
      <c r="T200" s="79" t="s">
        <v>516</v>
      </c>
      <c r="U200" s="79"/>
      <c r="V200" s="79"/>
      <c r="W200" s="151"/>
      <c r="X200" s="79"/>
      <c r="Y200" s="151"/>
      <c r="Z200" s="79"/>
      <c r="AA200" s="79"/>
      <c r="AB200" s="79"/>
      <c r="AC200" s="79"/>
      <c r="AD200" s="79"/>
      <c r="AE200" s="79"/>
      <c r="AF200" s="79"/>
      <c r="AG200" s="79"/>
      <c r="AH200" s="79"/>
      <c r="AK200" s="79"/>
      <c r="AL200" s="163"/>
      <c r="AM200" s="79"/>
      <c r="AN200" s="151"/>
      <c r="AO200" s="152"/>
      <c r="AP200" s="79"/>
      <c r="AQ200" s="153"/>
      <c r="AR200" s="79"/>
      <c r="AS200" s="153"/>
      <c r="AT200" s="79"/>
      <c r="AU200" s="151"/>
      <c r="AV200" s="151"/>
      <c r="AW200" s="151"/>
      <c r="AX200" s="151"/>
      <c r="AY200" s="75"/>
      <c r="AZ200" s="152"/>
      <c r="BA200" s="79"/>
      <c r="BB200" s="152"/>
      <c r="BC200" s="151"/>
      <c r="BD200" s="79"/>
      <c r="BE200" s="151"/>
      <c r="BF200" s="79"/>
      <c r="BG200" s="151"/>
      <c r="BH200" s="152"/>
      <c r="BI200" s="151"/>
      <c r="BJ200" s="152"/>
      <c r="BK200" s="151"/>
      <c r="BL200" s="151"/>
      <c r="BM200" s="151"/>
      <c r="BN200" s="151"/>
      <c r="BO200" s="79"/>
      <c r="BP200" s="151"/>
      <c r="BQ200" s="151"/>
      <c r="BR200" s="152"/>
      <c r="BS200" s="151"/>
      <c r="BT200" s="79"/>
      <c r="BU200" s="151"/>
      <c r="BV200" s="189"/>
    </row>
    <row r="201" spans="1:74" s="76" customFormat="1" ht="15" hidden="1" customHeight="1" x14ac:dyDescent="0.25">
      <c r="A201" s="74" t="s">
        <v>459</v>
      </c>
      <c r="B201" s="74" t="s">
        <v>460</v>
      </c>
      <c r="C201" s="75" t="s">
        <v>54</v>
      </c>
      <c r="D201" s="188">
        <v>70</v>
      </c>
      <c r="E201" s="79" t="s">
        <v>345</v>
      </c>
      <c r="F201" s="188" t="s">
        <v>1366</v>
      </c>
      <c r="G201" s="151" t="s">
        <v>1367</v>
      </c>
      <c r="H201" s="79" t="s">
        <v>1346</v>
      </c>
      <c r="I201" s="280">
        <v>45044</v>
      </c>
      <c r="J201" s="79" t="s">
        <v>1351</v>
      </c>
      <c r="K201" s="79"/>
      <c r="L201" s="79" t="s">
        <v>1352</v>
      </c>
      <c r="M201" s="79" t="s">
        <v>1368</v>
      </c>
      <c r="N201" s="190" t="s">
        <v>1369</v>
      </c>
      <c r="O201" s="152" t="s">
        <v>1370</v>
      </c>
      <c r="P201" s="152">
        <v>600000000</v>
      </c>
      <c r="Q201" s="152">
        <v>548273960</v>
      </c>
      <c r="R201" s="79">
        <v>34623</v>
      </c>
      <c r="S201" s="79" t="s">
        <v>903</v>
      </c>
      <c r="T201" s="79" t="s">
        <v>516</v>
      </c>
      <c r="U201" s="79"/>
      <c r="V201" s="79"/>
      <c r="W201" s="151"/>
      <c r="X201" s="79"/>
      <c r="Y201" s="151"/>
      <c r="Z201" s="79"/>
      <c r="AA201" s="79"/>
      <c r="AB201" s="79"/>
      <c r="AC201" s="79"/>
      <c r="AD201" s="79"/>
      <c r="AE201" s="79"/>
      <c r="AF201" s="79"/>
      <c r="AG201" s="79"/>
      <c r="AH201" s="79"/>
      <c r="AK201" s="79"/>
      <c r="AL201" s="163"/>
      <c r="AM201" s="79"/>
      <c r="AN201" s="151"/>
      <c r="AO201" s="152"/>
      <c r="AP201" s="79"/>
      <c r="AQ201" s="153"/>
      <c r="AR201" s="79"/>
      <c r="AS201" s="153"/>
      <c r="AT201" s="79"/>
      <c r="AU201" s="151"/>
      <c r="AV201" s="151"/>
      <c r="AW201" s="151"/>
      <c r="AX201" s="151"/>
      <c r="AY201" s="75"/>
      <c r="AZ201" s="152"/>
      <c r="BA201" s="79"/>
      <c r="BB201" s="152"/>
      <c r="BC201" s="151"/>
      <c r="BD201" s="79"/>
      <c r="BE201" s="151"/>
      <c r="BF201" s="79"/>
      <c r="BG201" s="151"/>
      <c r="BH201" s="152"/>
      <c r="BI201" s="151"/>
      <c r="BJ201" s="152"/>
      <c r="BK201" s="151"/>
      <c r="BL201" s="151"/>
      <c r="BM201" s="151"/>
      <c r="BN201" s="151"/>
      <c r="BO201" s="79"/>
      <c r="BP201" s="151"/>
      <c r="BQ201" s="151"/>
      <c r="BR201" s="152"/>
      <c r="BS201" s="151"/>
      <c r="BT201" s="79"/>
      <c r="BU201" s="151"/>
      <c r="BV201" s="189"/>
    </row>
    <row r="202" spans="1:74" s="59" customFormat="1" ht="15" hidden="1" customHeight="1" x14ac:dyDescent="0.25">
      <c r="A202" s="79" t="s">
        <v>459</v>
      </c>
      <c r="B202" s="79" t="s">
        <v>460</v>
      </c>
      <c r="C202" s="125" t="s">
        <v>481</v>
      </c>
      <c r="D202" s="59">
        <v>146</v>
      </c>
      <c r="E202" s="59" t="s">
        <v>1390</v>
      </c>
      <c r="F202" s="59" t="s">
        <v>1391</v>
      </c>
      <c r="G202" s="59">
        <v>148025</v>
      </c>
      <c r="H202" s="51" t="s">
        <v>1155</v>
      </c>
      <c r="I202" s="280">
        <v>45020</v>
      </c>
      <c r="J202" s="39" t="s">
        <v>492</v>
      </c>
      <c r="K202" s="76" t="s">
        <v>508</v>
      </c>
      <c r="L202" s="79" t="s">
        <v>61</v>
      </c>
      <c r="M202" s="59" t="s">
        <v>1392</v>
      </c>
      <c r="N202" s="79">
        <v>84131603</v>
      </c>
      <c r="O202" s="61" t="s">
        <v>1393</v>
      </c>
      <c r="P202" s="152">
        <v>49000000</v>
      </c>
      <c r="Q202" s="152">
        <v>36951700</v>
      </c>
      <c r="R202" s="59">
        <v>32223</v>
      </c>
      <c r="S202" s="42" t="s">
        <v>507</v>
      </c>
      <c r="T202" s="170" t="s">
        <v>64</v>
      </c>
      <c r="U202" s="170" t="s">
        <v>1193</v>
      </c>
      <c r="W202" s="126">
        <v>108703</v>
      </c>
      <c r="X202" s="59" t="s">
        <v>1155</v>
      </c>
      <c r="Y202" s="191">
        <v>45045</v>
      </c>
      <c r="Z202" s="59" t="s">
        <v>1394</v>
      </c>
      <c r="AB202" s="170" t="s">
        <v>68</v>
      </c>
      <c r="AC202" s="170" t="s">
        <v>1196</v>
      </c>
      <c r="AD202" s="59" t="s">
        <v>1395</v>
      </c>
      <c r="AE202" s="59">
        <v>891700037</v>
      </c>
      <c r="AF202" s="59">
        <v>9</v>
      </c>
      <c r="AL202" s="65"/>
      <c r="AM202" s="170">
        <v>79923</v>
      </c>
      <c r="AN202" s="65">
        <v>45048</v>
      </c>
      <c r="AO202" s="129">
        <v>35623228</v>
      </c>
      <c r="AQ202" s="192"/>
      <c r="AS202" s="129">
        <v>35623228</v>
      </c>
      <c r="AT202" s="39" t="s">
        <v>551</v>
      </c>
      <c r="AU202" s="65"/>
      <c r="AV202" s="65"/>
      <c r="AW202" s="65">
        <v>45048</v>
      </c>
      <c r="AX202" s="151">
        <v>45291</v>
      </c>
      <c r="AY202" s="38">
        <f>(AX202-AW202)</f>
        <v>243</v>
      </c>
      <c r="AZ202" s="61" t="s">
        <v>1396</v>
      </c>
      <c r="BA202" s="39">
        <v>52452907</v>
      </c>
      <c r="BE202" s="65"/>
      <c r="BG202" s="65"/>
      <c r="BH202" s="61"/>
      <c r="BJ202" s="65"/>
      <c r="BK202" s="65"/>
      <c r="BN202" s="65"/>
      <c r="BP202" s="61"/>
      <c r="BQ202" s="65"/>
      <c r="BS202" s="65"/>
    </row>
    <row r="203" spans="1:74" s="59" customFormat="1" ht="15" customHeight="1" x14ac:dyDescent="0.25">
      <c r="A203" s="79" t="s">
        <v>459</v>
      </c>
      <c r="B203" s="79" t="s">
        <v>460</v>
      </c>
      <c r="C203" s="125" t="s">
        <v>54</v>
      </c>
      <c r="D203" s="59">
        <v>119</v>
      </c>
      <c r="E203" s="59" t="s">
        <v>55</v>
      </c>
      <c r="F203" s="59" t="s">
        <v>1406</v>
      </c>
      <c r="G203" s="59" t="s">
        <v>1400</v>
      </c>
      <c r="H203" s="51" t="s">
        <v>1407</v>
      </c>
      <c r="I203" s="280">
        <v>45076</v>
      </c>
      <c r="J203" s="39" t="s">
        <v>1351</v>
      </c>
      <c r="K203" s="76" t="s">
        <v>493</v>
      </c>
      <c r="L203" s="79" t="s">
        <v>61</v>
      </c>
      <c r="M203" s="59" t="s">
        <v>1408</v>
      </c>
      <c r="N203" s="79">
        <v>40101701</v>
      </c>
      <c r="O203" s="61" t="s">
        <v>1409</v>
      </c>
      <c r="P203" s="152">
        <v>120000000</v>
      </c>
      <c r="Q203" s="152">
        <v>120000000</v>
      </c>
      <c r="R203" s="59">
        <v>33123</v>
      </c>
      <c r="S203" s="42" t="s">
        <v>1410</v>
      </c>
      <c r="T203" s="170" t="s">
        <v>516</v>
      </c>
      <c r="U203" s="170"/>
      <c r="W203" s="126"/>
      <c r="Y203" s="191"/>
      <c r="AB203" s="170"/>
      <c r="AC203" s="170"/>
      <c r="AL203" s="65"/>
      <c r="AM203" s="170"/>
      <c r="AN203" s="65"/>
      <c r="AO203" s="129"/>
      <c r="AQ203" s="192"/>
      <c r="AS203" s="129"/>
      <c r="AT203" s="39"/>
      <c r="AU203" s="65"/>
      <c r="AV203" s="65"/>
      <c r="AW203" s="65"/>
      <c r="AX203" s="151"/>
      <c r="AY203" s="38">
        <f t="shared" ref="AY203:AY206" si="25">(AX203-AW203)</f>
        <v>0</v>
      </c>
      <c r="AZ203" s="61"/>
      <c r="BA203" s="39"/>
      <c r="BE203" s="65"/>
      <c r="BG203" s="65"/>
      <c r="BH203" s="61"/>
      <c r="BJ203" s="65"/>
      <c r="BK203" s="65"/>
      <c r="BN203" s="65"/>
      <c r="BP203" s="61"/>
      <c r="BQ203" s="65"/>
      <c r="BS203" s="65"/>
    </row>
    <row r="204" spans="1:74" s="59" customFormat="1" ht="15" customHeight="1" x14ac:dyDescent="0.25">
      <c r="A204" s="79" t="s">
        <v>459</v>
      </c>
      <c r="B204" s="79" t="s">
        <v>460</v>
      </c>
      <c r="C204" s="125" t="s">
        <v>54</v>
      </c>
      <c r="D204" s="59">
        <v>188</v>
      </c>
      <c r="E204" s="59" t="s">
        <v>55</v>
      </c>
      <c r="F204" s="59" t="s">
        <v>1411</v>
      </c>
      <c r="G204" s="59" t="s">
        <v>1401</v>
      </c>
      <c r="H204" s="51" t="s">
        <v>1407</v>
      </c>
      <c r="I204" s="280">
        <v>45070</v>
      </c>
      <c r="J204" s="39" t="s">
        <v>1351</v>
      </c>
      <c r="K204" s="76" t="s">
        <v>493</v>
      </c>
      <c r="L204" s="79" t="s">
        <v>61</v>
      </c>
      <c r="M204" s="59" t="s">
        <v>1412</v>
      </c>
      <c r="N204" s="79">
        <v>72154302</v>
      </c>
      <c r="O204" s="61" t="s">
        <v>1413</v>
      </c>
      <c r="P204" s="152">
        <v>60000000</v>
      </c>
      <c r="Q204" s="152">
        <v>60000000</v>
      </c>
      <c r="R204" s="59">
        <v>33023</v>
      </c>
      <c r="S204" s="42" t="s">
        <v>500</v>
      </c>
      <c r="T204" s="170" t="s">
        <v>516</v>
      </c>
      <c r="U204" s="170"/>
      <c r="W204" s="126"/>
      <c r="Y204" s="191"/>
      <c r="AB204" s="170"/>
      <c r="AC204" s="170"/>
      <c r="AL204" s="65"/>
      <c r="AM204" s="170"/>
      <c r="AN204" s="65"/>
      <c r="AO204" s="129"/>
      <c r="AQ204" s="192"/>
      <c r="AS204" s="129"/>
      <c r="AT204" s="39"/>
      <c r="AU204" s="65"/>
      <c r="AV204" s="65"/>
      <c r="AW204" s="65"/>
      <c r="AX204" s="151"/>
      <c r="AY204" s="38">
        <f t="shared" si="25"/>
        <v>0</v>
      </c>
      <c r="AZ204" s="61"/>
      <c r="BA204" s="39"/>
      <c r="BE204" s="65"/>
      <c r="BG204" s="65"/>
      <c r="BH204" s="61"/>
      <c r="BJ204" s="65"/>
      <c r="BK204" s="65"/>
      <c r="BN204" s="65"/>
      <c r="BP204" s="61"/>
      <c r="BQ204" s="65"/>
      <c r="BS204" s="65"/>
    </row>
    <row r="205" spans="1:74" s="59" customFormat="1" ht="15" customHeight="1" x14ac:dyDescent="0.25">
      <c r="A205" s="79" t="s">
        <v>459</v>
      </c>
      <c r="B205" s="79" t="s">
        <v>460</v>
      </c>
      <c r="C205" s="125" t="s">
        <v>54</v>
      </c>
      <c r="D205" s="59">
        <v>224</v>
      </c>
      <c r="E205" s="59" t="s">
        <v>55</v>
      </c>
      <c r="F205" s="59" t="s">
        <v>1414</v>
      </c>
      <c r="G205" s="59" t="s">
        <v>1402</v>
      </c>
      <c r="H205" s="51" t="s">
        <v>1407</v>
      </c>
      <c r="I205" s="280">
        <v>45077</v>
      </c>
      <c r="J205" s="39" t="s">
        <v>1188</v>
      </c>
      <c r="K205" s="76" t="s">
        <v>330</v>
      </c>
      <c r="L205" s="79" t="s">
        <v>313</v>
      </c>
      <c r="M205" s="59" t="s">
        <v>1415</v>
      </c>
      <c r="N205" s="79">
        <v>24141504</v>
      </c>
      <c r="O205" s="61" t="s">
        <v>1416</v>
      </c>
      <c r="P205" s="152">
        <v>37160000</v>
      </c>
      <c r="Q205" s="152">
        <v>37157036</v>
      </c>
      <c r="R205" s="59">
        <v>40223</v>
      </c>
      <c r="S205" s="42" t="s">
        <v>1136</v>
      </c>
      <c r="T205" s="170" t="s">
        <v>516</v>
      </c>
      <c r="U205" s="170"/>
      <c r="W205" s="126"/>
      <c r="Y205" s="191"/>
      <c r="AB205" s="170"/>
      <c r="AC205" s="170"/>
      <c r="AL205" s="65"/>
      <c r="AM205" s="170"/>
      <c r="AN205" s="65"/>
      <c r="AO205" s="129"/>
      <c r="AQ205" s="192"/>
      <c r="AS205" s="129"/>
      <c r="AT205" s="39"/>
      <c r="AU205" s="65"/>
      <c r="AV205" s="65"/>
      <c r="AW205" s="65"/>
      <c r="AX205" s="151"/>
      <c r="AY205" s="38">
        <f t="shared" si="25"/>
        <v>0</v>
      </c>
      <c r="AZ205" s="61"/>
      <c r="BA205" s="39"/>
      <c r="BE205" s="65"/>
      <c r="BG205" s="65"/>
      <c r="BH205" s="61"/>
      <c r="BJ205" s="65"/>
      <c r="BK205" s="65"/>
      <c r="BN205" s="65"/>
      <c r="BP205" s="61"/>
      <c r="BQ205" s="65"/>
      <c r="BS205" s="65"/>
    </row>
    <row r="206" spans="1:74" s="59" customFormat="1" ht="15" customHeight="1" x14ac:dyDescent="0.25">
      <c r="A206" s="79" t="s">
        <v>459</v>
      </c>
      <c r="B206" s="79" t="s">
        <v>460</v>
      </c>
      <c r="C206" s="125" t="s">
        <v>54</v>
      </c>
      <c r="D206" s="59">
        <v>285</v>
      </c>
      <c r="E206" s="59" t="s">
        <v>55</v>
      </c>
      <c r="F206" s="59" t="s">
        <v>1417</v>
      </c>
      <c r="G206" s="59" t="s">
        <v>1403</v>
      </c>
      <c r="H206" s="51" t="s">
        <v>1407</v>
      </c>
      <c r="I206" s="280">
        <v>45056</v>
      </c>
      <c r="J206" s="39" t="s">
        <v>1347</v>
      </c>
      <c r="K206" s="76" t="s">
        <v>730</v>
      </c>
      <c r="L206" s="79" t="s">
        <v>61</v>
      </c>
      <c r="M206" s="59" t="s">
        <v>1418</v>
      </c>
      <c r="N206" s="79">
        <v>72101500</v>
      </c>
      <c r="O206" s="61" t="s">
        <v>1419</v>
      </c>
      <c r="P206" s="152">
        <v>350000000</v>
      </c>
      <c r="Q206" s="152">
        <v>348819773.88</v>
      </c>
      <c r="R206" s="59">
        <v>32723</v>
      </c>
      <c r="S206" s="42" t="s">
        <v>309</v>
      </c>
      <c r="T206" s="170" t="s">
        <v>516</v>
      </c>
      <c r="U206" s="170"/>
      <c r="W206" s="126"/>
      <c r="Y206" s="191"/>
      <c r="AB206" s="170"/>
      <c r="AC206" s="170"/>
      <c r="AL206" s="65"/>
      <c r="AM206" s="170"/>
      <c r="AN206" s="65"/>
      <c r="AO206" s="129"/>
      <c r="AQ206" s="192"/>
      <c r="AS206" s="129"/>
      <c r="AT206" s="39"/>
      <c r="AU206" s="65"/>
      <c r="AV206" s="65"/>
      <c r="AW206" s="65"/>
      <c r="AX206" s="151"/>
      <c r="AY206" s="38">
        <f t="shared" si="25"/>
        <v>0</v>
      </c>
      <c r="AZ206" s="61"/>
      <c r="BA206" s="39"/>
      <c r="BE206" s="65"/>
      <c r="BG206" s="65"/>
      <c r="BH206" s="61"/>
      <c r="BJ206" s="65"/>
      <c r="BK206" s="65"/>
      <c r="BN206" s="65"/>
      <c r="BP206" s="61"/>
      <c r="BQ206" s="65"/>
      <c r="BS206" s="65"/>
    </row>
    <row r="207" spans="1:74" s="238" customFormat="1" ht="15" customHeight="1" x14ac:dyDescent="0.25">
      <c r="A207" s="236" t="s">
        <v>459</v>
      </c>
      <c r="B207" s="236" t="s">
        <v>460</v>
      </c>
      <c r="C207" s="237" t="s">
        <v>54</v>
      </c>
      <c r="D207" s="238">
        <v>291</v>
      </c>
      <c r="E207" s="238" t="s">
        <v>55</v>
      </c>
      <c r="F207" s="238" t="s">
        <v>1420</v>
      </c>
      <c r="G207" s="238" t="s">
        <v>1404</v>
      </c>
      <c r="H207" s="239" t="s">
        <v>1407</v>
      </c>
      <c r="I207" s="280">
        <v>45063</v>
      </c>
      <c r="J207" s="238" t="s">
        <v>1188</v>
      </c>
      <c r="K207" s="238" t="s">
        <v>60</v>
      </c>
      <c r="L207" s="236" t="s">
        <v>1421</v>
      </c>
      <c r="M207" s="238" t="s">
        <v>1422</v>
      </c>
      <c r="N207" s="236">
        <v>80111607</v>
      </c>
      <c r="O207" s="241" t="s">
        <v>1423</v>
      </c>
      <c r="P207" s="242">
        <v>75000000</v>
      </c>
      <c r="Q207" s="242">
        <v>75000000</v>
      </c>
      <c r="R207" s="238">
        <v>37723</v>
      </c>
      <c r="S207" s="236" t="s">
        <v>89</v>
      </c>
      <c r="T207" s="239" t="s">
        <v>64</v>
      </c>
      <c r="U207" s="239" t="s">
        <v>1193</v>
      </c>
      <c r="W207" s="243" t="s">
        <v>1429</v>
      </c>
      <c r="X207" s="238" t="s">
        <v>1407</v>
      </c>
      <c r="Y207" s="244">
        <v>45064</v>
      </c>
      <c r="Z207" s="245" t="s">
        <v>60</v>
      </c>
      <c r="AB207" s="239" t="s">
        <v>68</v>
      </c>
      <c r="AC207" s="239" t="s">
        <v>1196</v>
      </c>
      <c r="AD207" s="245" t="s">
        <v>1430</v>
      </c>
      <c r="AE207" s="238">
        <v>80093870</v>
      </c>
      <c r="AG207" s="238" t="s">
        <v>1431</v>
      </c>
      <c r="AK207" s="240">
        <v>29969</v>
      </c>
      <c r="AL207" s="240"/>
      <c r="AM207" s="239">
        <v>89823</v>
      </c>
      <c r="AN207" s="240">
        <v>45064</v>
      </c>
      <c r="AO207" s="246">
        <v>75000000</v>
      </c>
      <c r="AQ207" s="63"/>
      <c r="AS207" s="246">
        <v>75000000</v>
      </c>
      <c r="AT207" s="245" t="s">
        <v>297</v>
      </c>
      <c r="AU207" s="240">
        <v>45064</v>
      </c>
      <c r="AV207" s="237" t="s">
        <v>74</v>
      </c>
      <c r="AW207" s="240">
        <v>45064</v>
      </c>
      <c r="AX207" s="247">
        <v>45291</v>
      </c>
      <c r="AY207" s="248">
        <f>(AX207-AW207)</f>
        <v>227</v>
      </c>
      <c r="AZ207" s="249" t="s">
        <v>627</v>
      </c>
      <c r="BA207" s="249">
        <v>55164919</v>
      </c>
      <c r="BE207" s="240"/>
      <c r="BG207" s="240"/>
      <c r="BH207" s="241"/>
      <c r="BJ207" s="240"/>
      <c r="BK207" s="240"/>
      <c r="BN207" s="240"/>
      <c r="BP207" s="241"/>
      <c r="BQ207" s="240"/>
      <c r="BS207" s="240"/>
    </row>
    <row r="208" spans="1:74" s="238" customFormat="1" ht="15" customHeight="1" x14ac:dyDescent="0.25">
      <c r="A208" s="236" t="s">
        <v>459</v>
      </c>
      <c r="B208" s="236" t="s">
        <v>460</v>
      </c>
      <c r="C208" s="237" t="s">
        <v>54</v>
      </c>
      <c r="D208" s="238">
        <v>292</v>
      </c>
      <c r="E208" s="238" t="s">
        <v>55</v>
      </c>
      <c r="F208" s="238" t="s">
        <v>1424</v>
      </c>
      <c r="G208" s="238" t="s">
        <v>1405</v>
      </c>
      <c r="H208" s="239" t="s">
        <v>1407</v>
      </c>
      <c r="I208" s="280">
        <v>45056</v>
      </c>
      <c r="J208" s="238" t="s">
        <v>1188</v>
      </c>
      <c r="K208" s="238" t="s">
        <v>60</v>
      </c>
      <c r="L208" s="236" t="s">
        <v>1212</v>
      </c>
      <c r="M208" s="238" t="s">
        <v>1425</v>
      </c>
      <c r="N208" s="236">
        <v>81111500</v>
      </c>
      <c r="O208" s="241" t="s">
        <v>88</v>
      </c>
      <c r="P208" s="242">
        <v>37500000</v>
      </c>
      <c r="Q208" s="242">
        <v>37500000</v>
      </c>
      <c r="R208" s="238">
        <v>36723</v>
      </c>
      <c r="S208" s="236" t="s">
        <v>89</v>
      </c>
      <c r="T208" s="239" t="s">
        <v>64</v>
      </c>
      <c r="U208" s="239" t="s">
        <v>1193</v>
      </c>
      <c r="W208" s="243" t="s">
        <v>1426</v>
      </c>
      <c r="X208" s="238" t="s">
        <v>1407</v>
      </c>
      <c r="Y208" s="244">
        <v>45063</v>
      </c>
      <c r="Z208" s="245" t="s">
        <v>60</v>
      </c>
      <c r="AB208" s="239" t="s">
        <v>68</v>
      </c>
      <c r="AC208" s="239" t="s">
        <v>1196</v>
      </c>
      <c r="AD208" s="245" t="s">
        <v>1427</v>
      </c>
      <c r="AE208" s="238">
        <v>1016000492</v>
      </c>
      <c r="AG208" s="238" t="s">
        <v>755</v>
      </c>
      <c r="AK208" s="240" t="s">
        <v>1428</v>
      </c>
      <c r="AL208" s="240"/>
      <c r="AM208" s="239">
        <v>89223</v>
      </c>
      <c r="AN208" s="240">
        <v>45064</v>
      </c>
      <c r="AO208" s="246">
        <v>37500000</v>
      </c>
      <c r="AQ208" s="63"/>
      <c r="AS208" s="246">
        <v>37500000</v>
      </c>
      <c r="AT208" s="245" t="s">
        <v>297</v>
      </c>
      <c r="AU208" s="240">
        <v>45063</v>
      </c>
      <c r="AV208" s="237" t="s">
        <v>74</v>
      </c>
      <c r="AW208" s="240">
        <v>45064</v>
      </c>
      <c r="AX208" s="247">
        <v>45291</v>
      </c>
      <c r="AY208" s="248">
        <f>(AX208-AW208)</f>
        <v>227</v>
      </c>
      <c r="AZ208" s="249" t="s">
        <v>1217</v>
      </c>
      <c r="BA208" s="249">
        <v>19498970</v>
      </c>
      <c r="BE208" s="240"/>
      <c r="BG208" s="240"/>
      <c r="BH208" s="241"/>
      <c r="BJ208" s="240"/>
      <c r="BK208" s="240"/>
      <c r="BN208" s="240"/>
      <c r="BP208" s="241"/>
      <c r="BQ208" s="240"/>
      <c r="BS208" s="240"/>
    </row>
    <row r="209" spans="1:74" s="252" customFormat="1" ht="15" customHeight="1" x14ac:dyDescent="0.25">
      <c r="A209" s="236" t="s">
        <v>459</v>
      </c>
      <c r="B209" s="236" t="s">
        <v>460</v>
      </c>
      <c r="C209" s="249" t="s">
        <v>54</v>
      </c>
      <c r="D209" s="238">
        <v>184</v>
      </c>
      <c r="E209" s="250" t="s">
        <v>1178</v>
      </c>
      <c r="F209" s="238" t="s">
        <v>1452</v>
      </c>
      <c r="G209" s="249" t="s">
        <v>1453</v>
      </c>
      <c r="H209" s="249" t="s">
        <v>1407</v>
      </c>
      <c r="I209" s="280">
        <v>45070</v>
      </c>
      <c r="J209" s="249" t="s">
        <v>59</v>
      </c>
      <c r="K209" s="249" t="s">
        <v>1454</v>
      </c>
      <c r="L209" s="249" t="s">
        <v>61</v>
      </c>
      <c r="M209" s="238" t="s">
        <v>1455</v>
      </c>
      <c r="N209" s="236">
        <v>78181507</v>
      </c>
      <c r="O209" s="251" t="s">
        <v>1456</v>
      </c>
      <c r="P209" s="242">
        <v>30000000</v>
      </c>
      <c r="Q209" s="242">
        <v>30000000</v>
      </c>
      <c r="R209" s="238">
        <v>32523</v>
      </c>
      <c r="S209" s="249" t="s">
        <v>500</v>
      </c>
      <c r="T209" s="249" t="s">
        <v>516</v>
      </c>
      <c r="U209" s="249" t="s">
        <v>516</v>
      </c>
      <c r="V209" s="238"/>
      <c r="W209" s="240"/>
      <c r="X209" s="238"/>
      <c r="Y209" s="238"/>
      <c r="Z209" s="238"/>
      <c r="AA209" s="238"/>
      <c r="AB209" s="238"/>
      <c r="AC209" s="238"/>
      <c r="AD209" s="238"/>
      <c r="AE209" s="238"/>
      <c r="AF209" s="238"/>
      <c r="AG209" s="238"/>
      <c r="AH209" s="238"/>
      <c r="AI209" s="238"/>
      <c r="AJ209" s="238"/>
      <c r="AK209" s="238"/>
      <c r="AL209" s="240"/>
      <c r="AM209" s="241"/>
      <c r="AN209" s="238"/>
      <c r="AO209" s="238"/>
      <c r="AP209" s="238"/>
      <c r="AQ209" s="63"/>
      <c r="AR209" s="238"/>
      <c r="AS209" s="240"/>
      <c r="AT209" s="238"/>
      <c r="AU209" s="240"/>
      <c r="AV209" s="240"/>
      <c r="AW209" s="238"/>
      <c r="AX209" s="238"/>
      <c r="AY209" s="238"/>
      <c r="AZ209" s="241"/>
      <c r="BA209" s="240"/>
      <c r="BB209" s="238"/>
      <c r="BC209" s="238"/>
      <c r="BD209" s="238"/>
      <c r="BE209" s="240"/>
      <c r="BF209" s="238"/>
      <c r="BG209" s="240"/>
      <c r="BH209" s="241"/>
      <c r="BI209" s="238"/>
      <c r="BJ209" s="240"/>
      <c r="BK209" s="240"/>
      <c r="BL209" s="238"/>
      <c r="BM209" s="238"/>
      <c r="BN209" s="240"/>
      <c r="BO209" s="238"/>
      <c r="BP209" s="241"/>
      <c r="BQ209" s="240"/>
      <c r="BR209" s="238"/>
      <c r="BS209" s="240"/>
      <c r="BT209" s="238"/>
      <c r="BU209" s="238"/>
      <c r="BV209" s="238"/>
    </row>
    <row r="210" spans="1:74" s="252" customFormat="1" ht="15" customHeight="1" x14ac:dyDescent="0.25">
      <c r="A210" s="236" t="s">
        <v>459</v>
      </c>
      <c r="B210" s="236" t="s">
        <v>460</v>
      </c>
      <c r="C210" s="249" t="s">
        <v>54</v>
      </c>
      <c r="D210" s="238">
        <v>186</v>
      </c>
      <c r="E210" s="250" t="s">
        <v>1178</v>
      </c>
      <c r="F210" s="238" t="s">
        <v>1457</v>
      </c>
      <c r="G210" s="249" t="s">
        <v>1458</v>
      </c>
      <c r="H210" s="249" t="s">
        <v>1407</v>
      </c>
      <c r="I210" s="280">
        <v>45076</v>
      </c>
      <c r="J210" s="249" t="s">
        <v>1120</v>
      </c>
      <c r="K210" s="249" t="s">
        <v>1459</v>
      </c>
      <c r="L210" s="249" t="s">
        <v>61</v>
      </c>
      <c r="M210" s="238" t="s">
        <v>1460</v>
      </c>
      <c r="N210" s="236">
        <v>78181507</v>
      </c>
      <c r="O210" s="251" t="s">
        <v>1456</v>
      </c>
      <c r="P210" s="242">
        <v>20000000</v>
      </c>
      <c r="Q210" s="242">
        <v>20000000</v>
      </c>
      <c r="R210" s="238">
        <v>33223</v>
      </c>
      <c r="S210" s="249" t="s">
        <v>500</v>
      </c>
      <c r="T210" s="249" t="s">
        <v>516</v>
      </c>
      <c r="U210" s="249" t="s">
        <v>516</v>
      </c>
      <c r="V210" s="238"/>
      <c r="W210" s="240"/>
      <c r="X210" s="238"/>
      <c r="Y210" s="238"/>
      <c r="Z210" s="238"/>
      <c r="AA210" s="238"/>
      <c r="AB210" s="238"/>
      <c r="AC210" s="238"/>
      <c r="AD210" s="238"/>
      <c r="AE210" s="238"/>
      <c r="AF210" s="238"/>
      <c r="AG210" s="238"/>
      <c r="AH210" s="238"/>
      <c r="AI210" s="238"/>
      <c r="AJ210" s="238"/>
      <c r="AK210" s="238"/>
      <c r="AL210" s="240"/>
      <c r="AM210" s="241"/>
      <c r="AN210" s="238"/>
      <c r="AO210" s="238"/>
      <c r="AP210" s="238"/>
      <c r="AQ210" s="63"/>
      <c r="AR210" s="238"/>
      <c r="AS210" s="240"/>
      <c r="AT210" s="238"/>
      <c r="AU210" s="240"/>
      <c r="AV210" s="240"/>
      <c r="AW210" s="238"/>
      <c r="AX210" s="238"/>
      <c r="AY210" s="238"/>
      <c r="AZ210" s="241"/>
      <c r="BA210" s="240"/>
      <c r="BB210" s="238"/>
      <c r="BC210" s="238"/>
      <c r="BD210" s="238"/>
      <c r="BE210" s="240"/>
      <c r="BF210" s="238"/>
      <c r="BG210" s="240"/>
      <c r="BH210" s="241"/>
      <c r="BI210" s="238"/>
      <c r="BJ210" s="240"/>
      <c r="BK210" s="240"/>
      <c r="BL210" s="238"/>
      <c r="BM210" s="238"/>
      <c r="BN210" s="240"/>
      <c r="BO210" s="238"/>
      <c r="BP210" s="241"/>
      <c r="BQ210" s="240"/>
      <c r="BR210" s="238"/>
      <c r="BS210" s="240"/>
      <c r="BT210" s="238"/>
      <c r="BU210" s="238"/>
      <c r="BV210" s="238"/>
    </row>
    <row r="211" spans="1:74" s="252" customFormat="1" ht="15" customHeight="1" x14ac:dyDescent="0.25">
      <c r="A211" s="236" t="s">
        <v>459</v>
      </c>
      <c r="B211" s="236" t="s">
        <v>460</v>
      </c>
      <c r="C211" s="249" t="s">
        <v>54</v>
      </c>
      <c r="D211" s="238">
        <v>216</v>
      </c>
      <c r="E211" s="249" t="s">
        <v>1178</v>
      </c>
      <c r="F211" s="238" t="s">
        <v>1461</v>
      </c>
      <c r="G211" s="249" t="s">
        <v>1462</v>
      </c>
      <c r="H211" s="249" t="s">
        <v>1407</v>
      </c>
      <c r="I211" s="280">
        <v>45069</v>
      </c>
      <c r="J211" s="249" t="s">
        <v>492</v>
      </c>
      <c r="K211" s="249" t="s">
        <v>730</v>
      </c>
      <c r="L211" s="249" t="s">
        <v>61</v>
      </c>
      <c r="M211" s="238" t="s">
        <v>1463</v>
      </c>
      <c r="N211" s="251" t="s">
        <v>1464</v>
      </c>
      <c r="O211" s="251" t="s">
        <v>1465</v>
      </c>
      <c r="P211" s="242">
        <v>80000000</v>
      </c>
      <c r="Q211" s="242">
        <v>80000000</v>
      </c>
      <c r="R211" s="238">
        <v>39723</v>
      </c>
      <c r="S211" s="249" t="s">
        <v>597</v>
      </c>
      <c r="T211" s="249" t="s">
        <v>516</v>
      </c>
      <c r="U211" s="249" t="s">
        <v>516</v>
      </c>
      <c r="V211" s="238"/>
      <c r="W211" s="240"/>
      <c r="X211" s="238"/>
      <c r="Y211" s="238"/>
      <c r="Z211" s="238"/>
      <c r="AA211" s="238"/>
      <c r="AB211" s="238"/>
      <c r="AC211" s="238"/>
      <c r="AD211" s="238"/>
      <c r="AE211" s="238"/>
      <c r="AF211" s="238"/>
      <c r="AG211" s="238"/>
      <c r="AH211" s="238"/>
      <c r="AI211" s="238"/>
      <c r="AJ211" s="238"/>
      <c r="AK211" s="238"/>
      <c r="AL211" s="240"/>
      <c r="AM211" s="241"/>
      <c r="AN211" s="238"/>
      <c r="AO211" s="238"/>
      <c r="AP211" s="238"/>
      <c r="AQ211" s="63"/>
      <c r="AR211" s="238"/>
      <c r="AS211" s="240"/>
      <c r="AT211" s="238"/>
      <c r="AU211" s="240"/>
      <c r="AV211" s="240"/>
      <c r="AW211" s="238"/>
      <c r="AX211" s="238"/>
      <c r="AY211" s="238"/>
      <c r="AZ211" s="241"/>
      <c r="BA211" s="240"/>
      <c r="BB211" s="238"/>
      <c r="BC211" s="238"/>
      <c r="BD211" s="238"/>
      <c r="BE211" s="240"/>
      <c r="BF211" s="238"/>
      <c r="BG211" s="240"/>
      <c r="BH211" s="241"/>
      <c r="BI211" s="238"/>
      <c r="BJ211" s="240"/>
      <c r="BK211" s="240"/>
      <c r="BL211" s="238"/>
      <c r="BM211" s="238"/>
      <c r="BN211" s="240"/>
      <c r="BO211" s="238"/>
      <c r="BP211" s="241"/>
      <c r="BQ211" s="240"/>
      <c r="BR211" s="238"/>
      <c r="BS211" s="240"/>
      <c r="BT211" s="238"/>
      <c r="BU211" s="238"/>
      <c r="BV211" s="238"/>
    </row>
    <row r="212" spans="1:74" s="252" customFormat="1" ht="15" customHeight="1" x14ac:dyDescent="0.25">
      <c r="A212" s="236" t="s">
        <v>459</v>
      </c>
      <c r="B212" s="236" t="s">
        <v>460</v>
      </c>
      <c r="C212" s="249" t="s">
        <v>54</v>
      </c>
      <c r="D212" s="238">
        <v>246</v>
      </c>
      <c r="E212" s="249" t="s">
        <v>1178</v>
      </c>
      <c r="F212" s="238" t="s">
        <v>1466</v>
      </c>
      <c r="G212" s="249" t="s">
        <v>1467</v>
      </c>
      <c r="H212" s="249" t="s">
        <v>1407</v>
      </c>
      <c r="I212" s="280">
        <v>45072</v>
      </c>
      <c r="J212" s="249" t="s">
        <v>59</v>
      </c>
      <c r="K212" s="249" t="s">
        <v>1189</v>
      </c>
      <c r="L212" s="249" t="s">
        <v>839</v>
      </c>
      <c r="M212" s="238" t="s">
        <v>1468</v>
      </c>
      <c r="N212" s="236">
        <v>86111600</v>
      </c>
      <c r="O212" s="251" t="s">
        <v>1469</v>
      </c>
      <c r="P212" s="242">
        <v>150000000</v>
      </c>
      <c r="Q212" s="242">
        <v>139200000</v>
      </c>
      <c r="R212" s="238">
        <v>42023</v>
      </c>
      <c r="S212" s="249" t="s">
        <v>1167</v>
      </c>
      <c r="T212" s="249" t="s">
        <v>516</v>
      </c>
      <c r="U212" s="249" t="s">
        <v>516</v>
      </c>
      <c r="V212" s="238"/>
      <c r="W212" s="240"/>
      <c r="X212" s="238"/>
      <c r="Y212" s="238"/>
      <c r="Z212" s="238"/>
      <c r="AA212" s="238"/>
      <c r="AB212" s="238"/>
      <c r="AC212" s="238"/>
      <c r="AD212" s="238"/>
      <c r="AE212" s="238"/>
      <c r="AF212" s="238"/>
      <c r="AG212" s="238"/>
      <c r="AH212" s="238"/>
      <c r="AI212" s="238"/>
      <c r="AJ212" s="238"/>
      <c r="AK212" s="238"/>
      <c r="AL212" s="240"/>
      <c r="AM212" s="241"/>
      <c r="AN212" s="238"/>
      <c r="AO212" s="238"/>
      <c r="AP212" s="238"/>
      <c r="AQ212" s="63"/>
      <c r="AR212" s="238"/>
      <c r="AS212" s="240"/>
      <c r="AT212" s="238"/>
      <c r="AU212" s="240"/>
      <c r="AV212" s="240"/>
      <c r="AW212" s="238"/>
      <c r="AX212" s="238"/>
      <c r="AY212" s="238"/>
      <c r="AZ212" s="241"/>
      <c r="BA212" s="240"/>
      <c r="BB212" s="238"/>
      <c r="BC212" s="238"/>
      <c r="BD212" s="238"/>
      <c r="BE212" s="240"/>
      <c r="BF212" s="238"/>
      <c r="BG212" s="240"/>
      <c r="BH212" s="241"/>
      <c r="BI212" s="238"/>
      <c r="BJ212" s="240"/>
      <c r="BK212" s="240"/>
      <c r="BL212" s="238"/>
      <c r="BM212" s="238"/>
      <c r="BN212" s="240"/>
      <c r="BO212" s="238"/>
      <c r="BP212" s="241"/>
      <c r="BQ212" s="240"/>
      <c r="BR212" s="238"/>
      <c r="BS212" s="240"/>
      <c r="BT212" s="238"/>
      <c r="BU212" s="238"/>
      <c r="BV212" s="238"/>
    </row>
    <row r="213" spans="1:74" s="252" customFormat="1" ht="15" customHeight="1" x14ac:dyDescent="0.25">
      <c r="A213" s="236" t="s">
        <v>459</v>
      </c>
      <c r="B213" s="236" t="s">
        <v>460</v>
      </c>
      <c r="C213" s="249" t="s">
        <v>54</v>
      </c>
      <c r="D213" s="238">
        <v>290</v>
      </c>
      <c r="E213" s="249" t="s">
        <v>1178</v>
      </c>
      <c r="F213" s="238" t="s">
        <v>1470</v>
      </c>
      <c r="G213" s="249" t="s">
        <v>1471</v>
      </c>
      <c r="H213" s="249" t="s">
        <v>1407</v>
      </c>
      <c r="I213" s="280">
        <v>45061</v>
      </c>
      <c r="J213" s="249" t="s">
        <v>59</v>
      </c>
      <c r="K213" s="249" t="s">
        <v>1459</v>
      </c>
      <c r="L213" s="249" t="s">
        <v>61</v>
      </c>
      <c r="M213" s="238" t="s">
        <v>1472</v>
      </c>
      <c r="N213" s="236">
        <v>77102001</v>
      </c>
      <c r="O213" s="251" t="s">
        <v>1473</v>
      </c>
      <c r="P213" s="242">
        <v>45000000</v>
      </c>
      <c r="Q213" s="242">
        <v>45000000</v>
      </c>
      <c r="R213" s="238">
        <v>38123</v>
      </c>
      <c r="S213" s="249" t="s">
        <v>597</v>
      </c>
      <c r="T213" s="249" t="s">
        <v>64</v>
      </c>
      <c r="U213" s="239" t="s">
        <v>1193</v>
      </c>
      <c r="V213" s="238"/>
      <c r="W213" s="253" t="s">
        <v>1474</v>
      </c>
      <c r="X213" s="249" t="s">
        <v>1475</v>
      </c>
      <c r="Y213" s="244">
        <v>45062</v>
      </c>
      <c r="Z213" s="249" t="s">
        <v>60</v>
      </c>
      <c r="AA213" s="238"/>
      <c r="AB213" s="249" t="s">
        <v>68</v>
      </c>
      <c r="AC213" s="249" t="s">
        <v>69</v>
      </c>
      <c r="AD213" s="249" t="s">
        <v>1476</v>
      </c>
      <c r="AE213" s="238">
        <v>1022410911</v>
      </c>
      <c r="AF213" s="238"/>
      <c r="AG213" s="249" t="s">
        <v>1477</v>
      </c>
      <c r="AH213" s="238"/>
      <c r="AI213" s="238"/>
      <c r="AJ213" s="238"/>
      <c r="AK213" s="240">
        <v>34995</v>
      </c>
      <c r="AL213" s="254">
        <v>28</v>
      </c>
      <c r="AM213" s="239">
        <v>88723</v>
      </c>
      <c r="AN213" s="240">
        <v>45062</v>
      </c>
      <c r="AO213" s="246">
        <v>45000000</v>
      </c>
      <c r="AP213" s="238"/>
      <c r="AQ213" s="63"/>
      <c r="AR213" s="238"/>
      <c r="AS213" s="246">
        <v>45000000</v>
      </c>
      <c r="AT213" s="249" t="s">
        <v>297</v>
      </c>
      <c r="AU213" s="240">
        <v>45062</v>
      </c>
      <c r="AV213" s="253" t="s">
        <v>1208</v>
      </c>
      <c r="AW213" s="240">
        <v>45064</v>
      </c>
      <c r="AX213" s="240">
        <v>45291</v>
      </c>
      <c r="AY213" s="238"/>
      <c r="AZ213" s="255" t="s">
        <v>1478</v>
      </c>
      <c r="BA213" s="238">
        <v>52808564</v>
      </c>
      <c r="BB213" s="238"/>
      <c r="BC213" s="238"/>
      <c r="BD213" s="238"/>
      <c r="BE213" s="240"/>
      <c r="BF213" s="238"/>
      <c r="BG213" s="240"/>
      <c r="BH213" s="241"/>
      <c r="BI213" s="238"/>
      <c r="BJ213" s="256">
        <v>45000000</v>
      </c>
      <c r="BK213" s="240"/>
      <c r="BL213" s="238"/>
      <c r="BM213" s="238"/>
      <c r="BN213" s="240"/>
      <c r="BO213" s="238"/>
      <c r="BP213" s="241"/>
      <c r="BQ213" s="240"/>
      <c r="BR213" s="238"/>
      <c r="BS213" s="240"/>
      <c r="BT213" s="238"/>
      <c r="BU213" s="238"/>
      <c r="BV213" s="238"/>
    </row>
    <row r="214" spans="1:74" s="272" customFormat="1" ht="15" customHeight="1" x14ac:dyDescent="0.25">
      <c r="A214" s="257" t="s">
        <v>459</v>
      </c>
      <c r="B214" s="258" t="s">
        <v>460</v>
      </c>
      <c r="C214" s="259" t="s">
        <v>54</v>
      </c>
      <c r="D214" s="260">
        <v>28</v>
      </c>
      <c r="E214" s="261" t="s">
        <v>221</v>
      </c>
      <c r="F214" s="261" t="s">
        <v>1482</v>
      </c>
      <c r="G214" s="262" t="s">
        <v>1483</v>
      </c>
      <c r="H214" s="260" t="s">
        <v>1407</v>
      </c>
      <c r="I214" s="280">
        <v>45075</v>
      </c>
      <c r="J214" s="260" t="s">
        <v>59</v>
      </c>
      <c r="K214" s="260" t="s">
        <v>330</v>
      </c>
      <c r="L214" s="261" t="s">
        <v>166</v>
      </c>
      <c r="M214" s="261" t="s">
        <v>1484</v>
      </c>
      <c r="N214" s="260" t="s">
        <v>1485</v>
      </c>
      <c r="O214" s="264" t="s">
        <v>1486</v>
      </c>
      <c r="P214" s="265">
        <v>4000000</v>
      </c>
      <c r="Q214" s="266">
        <v>2219864</v>
      </c>
      <c r="R214" s="260">
        <v>38223</v>
      </c>
      <c r="S214" s="260" t="s">
        <v>515</v>
      </c>
      <c r="T214" s="261" t="s">
        <v>516</v>
      </c>
      <c r="U214" s="261" t="s">
        <v>517</v>
      </c>
      <c r="V214" s="260"/>
      <c r="W214" s="267"/>
      <c r="X214" s="261"/>
      <c r="Y214" s="267"/>
      <c r="Z214" s="260"/>
      <c r="AA214" s="260"/>
      <c r="AB214" s="260"/>
      <c r="AC214" s="260"/>
      <c r="AD214" s="260"/>
      <c r="AE214" s="260"/>
      <c r="AF214" s="260"/>
      <c r="AG214" s="260"/>
      <c r="AH214" s="260"/>
      <c r="AI214" s="261"/>
      <c r="AJ214" s="261"/>
      <c r="AK214" s="260"/>
      <c r="AL214" s="268"/>
      <c r="AM214" s="261"/>
      <c r="AN214" s="269"/>
      <c r="AO214" s="266"/>
      <c r="AP214" s="260"/>
      <c r="AQ214" s="231"/>
      <c r="AR214" s="260"/>
      <c r="AS214" s="231"/>
      <c r="AT214" s="260"/>
      <c r="AU214" s="267"/>
      <c r="AV214" s="267"/>
      <c r="AW214" s="267"/>
      <c r="AX214" s="267"/>
      <c r="AY214" s="259"/>
      <c r="AZ214" s="266"/>
      <c r="BA214" s="261"/>
      <c r="BB214" s="266"/>
      <c r="BC214" s="267"/>
      <c r="BD214" s="260"/>
      <c r="BE214" s="267"/>
      <c r="BF214" s="260"/>
      <c r="BG214" s="267"/>
      <c r="BH214" s="266"/>
      <c r="BI214" s="267"/>
      <c r="BJ214" s="270"/>
      <c r="BK214" s="267"/>
      <c r="BL214" s="267"/>
      <c r="BM214" s="267"/>
      <c r="BN214" s="267"/>
      <c r="BO214" s="260"/>
      <c r="BP214" s="267"/>
      <c r="BQ214" s="267"/>
      <c r="BR214" s="266"/>
      <c r="BS214" s="267"/>
      <c r="BT214" s="260"/>
      <c r="BU214" s="267"/>
      <c r="BV214" s="271"/>
    </row>
    <row r="215" spans="1:74" s="272" customFormat="1" ht="15" customHeight="1" x14ac:dyDescent="0.25">
      <c r="A215" s="257" t="s">
        <v>459</v>
      </c>
      <c r="B215" s="258" t="s">
        <v>460</v>
      </c>
      <c r="C215" s="259" t="s">
        <v>54</v>
      </c>
      <c r="D215" s="260">
        <v>80</v>
      </c>
      <c r="E215" s="261" t="s">
        <v>221</v>
      </c>
      <c r="F215" s="261" t="s">
        <v>1487</v>
      </c>
      <c r="G215" s="262" t="s">
        <v>1488</v>
      </c>
      <c r="H215" s="260" t="s">
        <v>1407</v>
      </c>
      <c r="I215" s="280">
        <v>45076</v>
      </c>
      <c r="J215" s="261" t="s">
        <v>534</v>
      </c>
      <c r="K215" s="260" t="s">
        <v>1228</v>
      </c>
      <c r="L215" s="261" t="s">
        <v>86</v>
      </c>
      <c r="M215" s="261" t="s">
        <v>1489</v>
      </c>
      <c r="N215" s="260" t="s">
        <v>1490</v>
      </c>
      <c r="O215" s="265" t="s">
        <v>1491</v>
      </c>
      <c r="P215" s="265">
        <v>30000000</v>
      </c>
      <c r="Q215" s="266">
        <v>29541750</v>
      </c>
      <c r="R215" s="260">
        <v>35723</v>
      </c>
      <c r="S215" s="260" t="s">
        <v>89</v>
      </c>
      <c r="T215" s="261" t="s">
        <v>516</v>
      </c>
      <c r="U215" s="261" t="s">
        <v>517</v>
      </c>
      <c r="V215" s="260"/>
      <c r="W215" s="267"/>
      <c r="X215" s="261"/>
      <c r="Y215" s="267"/>
      <c r="Z215" s="260"/>
      <c r="AA215" s="260"/>
      <c r="AB215" s="260"/>
      <c r="AC215" s="260"/>
      <c r="AD215" s="260"/>
      <c r="AE215" s="260"/>
      <c r="AF215" s="260"/>
      <c r="AG215" s="260"/>
      <c r="AH215" s="260"/>
      <c r="AI215" s="261"/>
      <c r="AJ215" s="261"/>
      <c r="AK215" s="260"/>
      <c r="AL215" s="268"/>
      <c r="AM215" s="261"/>
      <c r="AN215" s="267"/>
      <c r="AO215" s="266"/>
      <c r="AP215" s="260"/>
      <c r="AQ215" s="231"/>
      <c r="AR215" s="260"/>
      <c r="AS215" s="231"/>
      <c r="AT215" s="260"/>
      <c r="AU215" s="267"/>
      <c r="AV215" s="267"/>
      <c r="AW215" s="267"/>
      <c r="AX215" s="267"/>
      <c r="AY215" s="259"/>
      <c r="AZ215" s="266"/>
      <c r="BA215" s="261"/>
      <c r="BB215" s="266"/>
      <c r="BC215" s="267"/>
      <c r="BD215" s="260"/>
      <c r="BE215" s="267"/>
      <c r="BF215" s="260"/>
      <c r="BG215" s="267"/>
      <c r="BH215" s="266"/>
      <c r="BI215" s="267"/>
      <c r="BJ215" s="270"/>
      <c r="BK215" s="267"/>
      <c r="BL215" s="267"/>
      <c r="BM215" s="267"/>
      <c r="BN215" s="267"/>
      <c r="BO215" s="260"/>
      <c r="BP215" s="267"/>
      <c r="BQ215" s="267"/>
      <c r="BR215" s="266"/>
      <c r="BS215" s="267"/>
      <c r="BT215" s="260"/>
      <c r="BU215" s="267"/>
      <c r="BV215" s="271"/>
    </row>
    <row r="216" spans="1:74" s="272" customFormat="1" ht="15" customHeight="1" x14ac:dyDescent="0.25">
      <c r="A216" s="257" t="s">
        <v>459</v>
      </c>
      <c r="B216" s="258" t="s">
        <v>460</v>
      </c>
      <c r="C216" s="259" t="s">
        <v>54</v>
      </c>
      <c r="D216" s="260">
        <v>172</v>
      </c>
      <c r="E216" s="261" t="s">
        <v>221</v>
      </c>
      <c r="F216" s="261" t="s">
        <v>1492</v>
      </c>
      <c r="G216" s="262" t="s">
        <v>1493</v>
      </c>
      <c r="H216" s="260" t="s">
        <v>1407</v>
      </c>
      <c r="I216" s="280">
        <v>45063</v>
      </c>
      <c r="J216" s="261" t="s">
        <v>534</v>
      </c>
      <c r="K216" s="260" t="s">
        <v>1228</v>
      </c>
      <c r="L216" s="261" t="s">
        <v>61</v>
      </c>
      <c r="M216" s="261" t="s">
        <v>1494</v>
      </c>
      <c r="N216" s="260">
        <v>78181507</v>
      </c>
      <c r="O216" s="265" t="s">
        <v>1230</v>
      </c>
      <c r="P216" s="265">
        <v>12000000</v>
      </c>
      <c r="Q216" s="266">
        <v>12000000</v>
      </c>
      <c r="R216" s="260">
        <v>34223</v>
      </c>
      <c r="S216" s="260" t="s">
        <v>500</v>
      </c>
      <c r="T216" s="261" t="s">
        <v>516</v>
      </c>
      <c r="U216" s="261" t="s">
        <v>517</v>
      </c>
      <c r="V216" s="260"/>
      <c r="W216" s="267"/>
      <c r="X216" s="261"/>
      <c r="Y216" s="267"/>
      <c r="Z216" s="260"/>
      <c r="AA216" s="260"/>
      <c r="AB216" s="260"/>
      <c r="AC216" s="260"/>
      <c r="AD216" s="260"/>
      <c r="AE216" s="260"/>
      <c r="AF216" s="260"/>
      <c r="AG216" s="260"/>
      <c r="AH216" s="260"/>
      <c r="AI216" s="261"/>
      <c r="AJ216" s="261"/>
      <c r="AK216" s="267"/>
      <c r="AL216" s="268"/>
      <c r="AM216" s="261"/>
      <c r="AN216" s="267"/>
      <c r="AO216" s="266"/>
      <c r="AP216" s="260"/>
      <c r="AQ216" s="231"/>
      <c r="AR216" s="260"/>
      <c r="AS216" s="231"/>
      <c r="AT216" s="260"/>
      <c r="AU216" s="267"/>
      <c r="AV216" s="267"/>
      <c r="AW216" s="267"/>
      <c r="AX216" s="267"/>
      <c r="AY216" s="259"/>
      <c r="AZ216" s="266"/>
      <c r="BA216" s="261"/>
      <c r="BB216" s="266"/>
      <c r="BC216" s="267"/>
      <c r="BD216" s="260"/>
      <c r="BE216" s="267"/>
      <c r="BF216" s="260"/>
      <c r="BG216" s="267"/>
      <c r="BH216" s="266"/>
      <c r="BI216" s="267"/>
      <c r="BJ216" s="270"/>
      <c r="BK216" s="267"/>
      <c r="BL216" s="267"/>
      <c r="BM216" s="267"/>
      <c r="BN216" s="267"/>
      <c r="BO216" s="260"/>
      <c r="BP216" s="267"/>
      <c r="BQ216" s="267"/>
      <c r="BR216" s="266"/>
      <c r="BS216" s="267"/>
      <c r="BT216" s="260"/>
      <c r="BU216" s="267"/>
      <c r="BV216" s="271"/>
    </row>
    <row r="217" spans="1:74" s="272" customFormat="1" ht="15" customHeight="1" x14ac:dyDescent="0.25">
      <c r="A217" s="257" t="s">
        <v>459</v>
      </c>
      <c r="B217" s="258" t="s">
        <v>460</v>
      </c>
      <c r="C217" s="259" t="s">
        <v>54</v>
      </c>
      <c r="D217" s="260">
        <v>178</v>
      </c>
      <c r="E217" s="261" t="s">
        <v>221</v>
      </c>
      <c r="F217" s="261" t="s">
        <v>1495</v>
      </c>
      <c r="G217" s="262" t="s">
        <v>1496</v>
      </c>
      <c r="H217" s="260" t="s">
        <v>1407</v>
      </c>
      <c r="I217" s="280">
        <v>45058</v>
      </c>
      <c r="J217" s="261" t="s">
        <v>534</v>
      </c>
      <c r="K217" s="260" t="s">
        <v>1228</v>
      </c>
      <c r="L217" s="261" t="s">
        <v>61</v>
      </c>
      <c r="M217" s="261" t="s">
        <v>1497</v>
      </c>
      <c r="N217" s="260">
        <v>78181507</v>
      </c>
      <c r="O217" s="265" t="s">
        <v>1230</v>
      </c>
      <c r="P217" s="265">
        <v>20000000</v>
      </c>
      <c r="Q217" s="265">
        <v>20000000</v>
      </c>
      <c r="R217" s="260">
        <v>34323</v>
      </c>
      <c r="S217" s="260" t="s">
        <v>500</v>
      </c>
      <c r="T217" s="261" t="s">
        <v>516</v>
      </c>
      <c r="U217" s="261" t="s">
        <v>517</v>
      </c>
      <c r="V217" s="260"/>
      <c r="W217" s="267"/>
      <c r="X217" s="260"/>
      <c r="Y217" s="267"/>
      <c r="Z217" s="260"/>
      <c r="AA217" s="260"/>
      <c r="AB217" s="260"/>
      <c r="AC217" s="260"/>
      <c r="AD217" s="260"/>
      <c r="AE217" s="260"/>
      <c r="AF217" s="260"/>
      <c r="AG217" s="260"/>
      <c r="AH217" s="260"/>
      <c r="AI217" s="261"/>
      <c r="AJ217" s="261"/>
      <c r="AK217" s="260"/>
      <c r="AL217" s="268"/>
      <c r="AM217" s="266"/>
      <c r="AN217" s="267"/>
      <c r="AO217" s="266"/>
      <c r="AP217" s="260"/>
      <c r="AQ217" s="231"/>
      <c r="AR217" s="260"/>
      <c r="AS217" s="231"/>
      <c r="AT217" s="260"/>
      <c r="AU217" s="267"/>
      <c r="AV217" s="267"/>
      <c r="AW217" s="267"/>
      <c r="AX217" s="267"/>
      <c r="AY217" s="259"/>
      <c r="AZ217" s="266"/>
      <c r="BA217" s="267"/>
      <c r="BB217" s="266"/>
      <c r="BC217" s="267"/>
      <c r="BD217" s="260"/>
      <c r="BE217" s="267"/>
      <c r="BF217" s="260"/>
      <c r="BG217" s="267"/>
      <c r="BH217" s="266"/>
      <c r="BI217" s="267"/>
      <c r="BJ217" s="266"/>
      <c r="BK217" s="267"/>
      <c r="BL217" s="267"/>
      <c r="BM217" s="267"/>
      <c r="BN217" s="267"/>
      <c r="BO217" s="260"/>
      <c r="BP217" s="267"/>
      <c r="BQ217" s="267"/>
      <c r="BR217" s="266"/>
      <c r="BS217" s="267"/>
      <c r="BT217" s="260"/>
      <c r="BU217" s="267"/>
      <c r="BV217" s="271"/>
    </row>
    <row r="218" spans="1:74" s="272" customFormat="1" ht="15" customHeight="1" x14ac:dyDescent="0.25">
      <c r="A218" s="257" t="s">
        <v>459</v>
      </c>
      <c r="B218" s="258" t="s">
        <v>460</v>
      </c>
      <c r="C218" s="259" t="s">
        <v>54</v>
      </c>
      <c r="D218" s="260">
        <v>179</v>
      </c>
      <c r="E218" s="261" t="s">
        <v>221</v>
      </c>
      <c r="F218" s="261" t="s">
        <v>1498</v>
      </c>
      <c r="G218" s="262" t="s">
        <v>1499</v>
      </c>
      <c r="H218" s="260" t="s">
        <v>1407</v>
      </c>
      <c r="I218" s="280">
        <v>45069</v>
      </c>
      <c r="J218" s="261" t="s">
        <v>534</v>
      </c>
      <c r="K218" s="260" t="s">
        <v>1228</v>
      </c>
      <c r="L218" s="261" t="s">
        <v>61</v>
      </c>
      <c r="M218" s="261" t="s">
        <v>1500</v>
      </c>
      <c r="N218" s="260">
        <v>78181507</v>
      </c>
      <c r="O218" s="265" t="s">
        <v>1230</v>
      </c>
      <c r="P218" s="265">
        <v>17000000</v>
      </c>
      <c r="Q218" s="265">
        <v>17000000</v>
      </c>
      <c r="R218" s="260">
        <v>35123</v>
      </c>
      <c r="S218" s="260" t="s">
        <v>500</v>
      </c>
      <c r="T218" s="261" t="s">
        <v>516</v>
      </c>
      <c r="U218" s="261" t="s">
        <v>517</v>
      </c>
      <c r="V218" s="260"/>
      <c r="W218" s="267"/>
      <c r="X218" s="260"/>
      <c r="Y218" s="267"/>
      <c r="Z218" s="260"/>
      <c r="AA218" s="260"/>
      <c r="AB218" s="260"/>
      <c r="AC218" s="260"/>
      <c r="AD218" s="260"/>
      <c r="AE218" s="260"/>
      <c r="AF218" s="260"/>
      <c r="AG218" s="260"/>
      <c r="AH218" s="260"/>
      <c r="AI218" s="261"/>
      <c r="AJ218" s="261"/>
      <c r="AK218" s="260"/>
      <c r="AL218" s="268"/>
      <c r="AM218" s="266"/>
      <c r="AN218" s="267"/>
      <c r="AO218" s="266"/>
      <c r="AP218" s="260"/>
      <c r="AQ218" s="231"/>
      <c r="AR218" s="260"/>
      <c r="AS218" s="231"/>
      <c r="AT218" s="260"/>
      <c r="AU218" s="267"/>
      <c r="AV218" s="267"/>
      <c r="AW218" s="267"/>
      <c r="AX218" s="267"/>
      <c r="AY218" s="259"/>
      <c r="AZ218" s="266"/>
      <c r="BA218" s="267"/>
      <c r="BB218" s="266"/>
      <c r="BC218" s="267"/>
      <c r="BD218" s="260"/>
      <c r="BE218" s="267"/>
      <c r="BF218" s="260"/>
      <c r="BG218" s="267"/>
      <c r="BH218" s="266"/>
      <c r="BI218" s="267"/>
      <c r="BJ218" s="266"/>
      <c r="BK218" s="267"/>
      <c r="BL218" s="267"/>
      <c r="BM218" s="267"/>
      <c r="BN218" s="267"/>
      <c r="BO218" s="260"/>
      <c r="BP218" s="267"/>
      <c r="BQ218" s="267"/>
      <c r="BR218" s="266"/>
      <c r="BS218" s="267"/>
      <c r="BT218" s="260"/>
      <c r="BU218" s="267"/>
      <c r="BV218" s="271"/>
    </row>
    <row r="219" spans="1:74" s="272" customFormat="1" ht="15" customHeight="1" x14ac:dyDescent="0.25">
      <c r="A219" s="257" t="s">
        <v>459</v>
      </c>
      <c r="B219" s="258" t="s">
        <v>460</v>
      </c>
      <c r="C219" s="259" t="s">
        <v>54</v>
      </c>
      <c r="D219" s="260">
        <v>211</v>
      </c>
      <c r="E219" s="261" t="s">
        <v>221</v>
      </c>
      <c r="F219" s="261" t="s">
        <v>1501</v>
      </c>
      <c r="G219" s="262" t="s">
        <v>1502</v>
      </c>
      <c r="H219" s="260" t="s">
        <v>1407</v>
      </c>
      <c r="I219" s="280">
        <v>45061</v>
      </c>
      <c r="J219" s="260" t="s">
        <v>59</v>
      </c>
      <c r="K219" s="260" t="s">
        <v>1228</v>
      </c>
      <c r="L219" s="261" t="s">
        <v>61</v>
      </c>
      <c r="M219" s="261" t="s">
        <v>1503</v>
      </c>
      <c r="N219" s="260">
        <v>72102900</v>
      </c>
      <c r="O219" s="265" t="s">
        <v>1504</v>
      </c>
      <c r="P219" s="265">
        <v>18750000</v>
      </c>
      <c r="Q219" s="266">
        <v>15000000</v>
      </c>
      <c r="R219" s="260">
        <v>38723</v>
      </c>
      <c r="S219" s="260" t="s">
        <v>309</v>
      </c>
      <c r="T219" s="261" t="s">
        <v>64</v>
      </c>
      <c r="U219" s="261" t="s">
        <v>65</v>
      </c>
      <c r="V219" s="260"/>
      <c r="W219" s="267" t="s">
        <v>1505</v>
      </c>
      <c r="X219" s="260" t="s">
        <v>1407</v>
      </c>
      <c r="Y219" s="267">
        <v>45065</v>
      </c>
      <c r="Z219" s="261" t="s">
        <v>1228</v>
      </c>
      <c r="AA219" s="260"/>
      <c r="AB219" s="261" t="s">
        <v>68</v>
      </c>
      <c r="AC219" s="261" t="s">
        <v>69</v>
      </c>
      <c r="AD219" s="260" t="s">
        <v>1506</v>
      </c>
      <c r="AE219" s="260">
        <v>77188439</v>
      </c>
      <c r="AF219" s="261" t="s">
        <v>141</v>
      </c>
      <c r="AG219" s="260" t="s">
        <v>517</v>
      </c>
      <c r="AH219" s="261" t="s">
        <v>551</v>
      </c>
      <c r="AI219" s="261" t="s">
        <v>467</v>
      </c>
      <c r="AJ219" s="260" t="s">
        <v>517</v>
      </c>
      <c r="AK219" s="267">
        <v>28039</v>
      </c>
      <c r="AL219" s="273">
        <f ca="1">+YEAR(TODAY())-YEAR(AK219)</f>
        <v>47</v>
      </c>
      <c r="AM219" s="261">
        <v>90523</v>
      </c>
      <c r="AN219" s="269">
        <v>45069</v>
      </c>
      <c r="AO219" s="266">
        <v>15000000</v>
      </c>
      <c r="AP219" s="260"/>
      <c r="AQ219" s="231"/>
      <c r="AR219" s="260"/>
      <c r="AS219" s="266">
        <v>15000000</v>
      </c>
      <c r="AT219" s="261" t="s">
        <v>75</v>
      </c>
      <c r="AU219" s="269">
        <v>45065</v>
      </c>
      <c r="AV219" s="274" t="s">
        <v>74</v>
      </c>
      <c r="AW219" s="269">
        <v>45069</v>
      </c>
      <c r="AX219" s="269">
        <v>45291</v>
      </c>
      <c r="AY219" s="261">
        <f t="shared" ref="AY219" si="26">(AX219-AW219)</f>
        <v>222</v>
      </c>
      <c r="AZ219" s="261" t="s">
        <v>1244</v>
      </c>
      <c r="BA219" s="261">
        <v>1070618478</v>
      </c>
      <c r="BB219" s="266"/>
      <c r="BC219" s="267"/>
      <c r="BD219" s="260"/>
      <c r="BE219" s="267"/>
      <c r="BF219" s="260"/>
      <c r="BG219" s="267"/>
      <c r="BH219" s="266"/>
      <c r="BI219" s="267"/>
      <c r="BJ219" s="266">
        <v>15000000</v>
      </c>
      <c r="BK219" s="267"/>
      <c r="BL219" s="267"/>
      <c r="BM219" s="267"/>
      <c r="BN219" s="267"/>
      <c r="BO219" s="260"/>
      <c r="BP219" s="267"/>
      <c r="BQ219" s="267"/>
      <c r="BR219" s="266"/>
      <c r="BS219" s="267"/>
      <c r="BT219" s="261">
        <f t="shared" ref="BT219" si="27">SUM(AY219+BK219+BN219+BQ219)</f>
        <v>222</v>
      </c>
      <c r="BU219" s="267"/>
      <c r="BV219" s="271"/>
    </row>
    <row r="220" spans="1:74" s="272" customFormat="1" ht="15" customHeight="1" x14ac:dyDescent="0.25">
      <c r="A220" s="257" t="s">
        <v>459</v>
      </c>
      <c r="B220" s="258" t="s">
        <v>460</v>
      </c>
      <c r="C220" s="259" t="s">
        <v>54</v>
      </c>
      <c r="D220" s="260">
        <v>213</v>
      </c>
      <c r="E220" s="261" t="s">
        <v>221</v>
      </c>
      <c r="F220" s="261" t="s">
        <v>1507</v>
      </c>
      <c r="G220" s="262" t="s">
        <v>1508</v>
      </c>
      <c r="H220" s="260" t="s">
        <v>1407</v>
      </c>
      <c r="I220" s="280">
        <v>45055</v>
      </c>
      <c r="J220" s="260" t="s">
        <v>1104</v>
      </c>
      <c r="K220" s="260" t="s">
        <v>1509</v>
      </c>
      <c r="L220" s="261" t="s">
        <v>61</v>
      </c>
      <c r="M220" s="261" t="s">
        <v>1510</v>
      </c>
      <c r="N220" s="260" t="s">
        <v>869</v>
      </c>
      <c r="O220" s="265" t="s">
        <v>1511</v>
      </c>
      <c r="P220" s="265">
        <v>400000000</v>
      </c>
      <c r="Q220" s="265">
        <v>400000000</v>
      </c>
      <c r="R220" s="260">
        <v>29723</v>
      </c>
      <c r="S220" s="260" t="s">
        <v>309</v>
      </c>
      <c r="T220" s="261" t="s">
        <v>516</v>
      </c>
      <c r="U220" s="261" t="s">
        <v>517</v>
      </c>
      <c r="V220" s="260"/>
      <c r="W220" s="267"/>
      <c r="X220" s="260"/>
      <c r="Y220" s="275"/>
      <c r="Z220" s="261"/>
      <c r="AA220" s="260"/>
      <c r="AB220" s="260"/>
      <c r="AC220" s="260"/>
      <c r="AD220" s="260"/>
      <c r="AE220" s="260"/>
      <c r="AF220" s="260"/>
      <c r="AG220" s="261"/>
      <c r="AH220" s="261"/>
      <c r="AI220" s="261"/>
      <c r="AJ220" s="261"/>
      <c r="AK220" s="260"/>
      <c r="AL220" s="268"/>
      <c r="AM220" s="260"/>
      <c r="AN220" s="275"/>
      <c r="AO220" s="266"/>
      <c r="AP220" s="260"/>
      <c r="AQ220" s="231"/>
      <c r="AR220" s="260"/>
      <c r="AS220" s="235"/>
      <c r="AT220" s="261"/>
      <c r="AU220" s="275"/>
      <c r="AV220" s="274"/>
      <c r="AW220" s="275"/>
      <c r="AX220" s="275"/>
      <c r="AY220" s="260"/>
      <c r="AZ220" s="265"/>
      <c r="BA220" s="261"/>
      <c r="BB220" s="266"/>
      <c r="BC220" s="267"/>
      <c r="BD220" s="260"/>
      <c r="BE220" s="267"/>
      <c r="BF220" s="260"/>
      <c r="BG220" s="267"/>
      <c r="BH220" s="266"/>
      <c r="BI220" s="267"/>
      <c r="BJ220" s="266"/>
      <c r="BK220" s="267"/>
      <c r="BL220" s="267"/>
      <c r="BM220" s="267"/>
      <c r="BN220" s="267"/>
      <c r="BO220" s="260"/>
      <c r="BP220" s="267"/>
      <c r="BQ220" s="267"/>
      <c r="BR220" s="266"/>
      <c r="BS220" s="267"/>
      <c r="BT220" s="260"/>
      <c r="BU220" s="267"/>
      <c r="BV220" s="271"/>
    </row>
    <row r="221" spans="1:74" s="272" customFormat="1" ht="15" customHeight="1" x14ac:dyDescent="0.25">
      <c r="A221" s="257" t="s">
        <v>459</v>
      </c>
      <c r="B221" s="258" t="s">
        <v>460</v>
      </c>
      <c r="C221" s="259" t="s">
        <v>54</v>
      </c>
      <c r="D221" s="260">
        <v>249</v>
      </c>
      <c r="E221" s="261" t="s">
        <v>221</v>
      </c>
      <c r="F221" s="261" t="s">
        <v>1512</v>
      </c>
      <c r="G221" s="262" t="s">
        <v>1513</v>
      </c>
      <c r="H221" s="260" t="s">
        <v>1407</v>
      </c>
      <c r="I221" s="280">
        <v>45075</v>
      </c>
      <c r="J221" s="260" t="s">
        <v>1104</v>
      </c>
      <c r="K221" s="260" t="s">
        <v>1509</v>
      </c>
      <c r="L221" s="260" t="s">
        <v>839</v>
      </c>
      <c r="M221" s="261" t="s">
        <v>1514</v>
      </c>
      <c r="N221" s="260" t="s">
        <v>1515</v>
      </c>
      <c r="O221" s="265" t="s">
        <v>1516</v>
      </c>
      <c r="P221" s="265">
        <v>230000000</v>
      </c>
      <c r="Q221" s="266">
        <v>221112500</v>
      </c>
      <c r="R221" s="260">
        <v>29623</v>
      </c>
      <c r="S221" s="260" t="s">
        <v>1167</v>
      </c>
      <c r="T221" s="261" t="s">
        <v>516</v>
      </c>
      <c r="U221" s="261" t="s">
        <v>517</v>
      </c>
      <c r="V221" s="260"/>
      <c r="W221" s="267"/>
      <c r="X221" s="260"/>
      <c r="Y221" s="275"/>
      <c r="Z221" s="261"/>
      <c r="AA221" s="260"/>
      <c r="AB221" s="260"/>
      <c r="AC221" s="260"/>
      <c r="AD221" s="260"/>
      <c r="AE221" s="260"/>
      <c r="AF221" s="260"/>
      <c r="AG221" s="261"/>
      <c r="AH221" s="261"/>
      <c r="AI221" s="261"/>
      <c r="AJ221" s="261"/>
      <c r="AK221" s="260"/>
      <c r="AL221" s="268"/>
      <c r="AM221" s="260"/>
      <c r="AN221" s="275"/>
      <c r="AO221" s="266"/>
      <c r="AP221" s="260"/>
      <c r="AQ221" s="231"/>
      <c r="AR221" s="260"/>
      <c r="AS221" s="235"/>
      <c r="AT221" s="261"/>
      <c r="AU221" s="275"/>
      <c r="AV221" s="274"/>
      <c r="AW221" s="275"/>
      <c r="AX221" s="275"/>
      <c r="AY221" s="260"/>
      <c r="AZ221" s="265"/>
      <c r="BA221" s="261"/>
      <c r="BB221" s="266"/>
      <c r="BC221" s="267"/>
      <c r="BD221" s="260"/>
      <c r="BE221" s="267"/>
      <c r="BF221" s="260"/>
      <c r="BG221" s="267"/>
      <c r="BH221" s="266"/>
      <c r="BI221" s="267"/>
      <c r="BJ221" s="266"/>
      <c r="BK221" s="267"/>
      <c r="BL221" s="267"/>
      <c r="BM221" s="267"/>
      <c r="BN221" s="267"/>
      <c r="BO221" s="260"/>
      <c r="BP221" s="267"/>
      <c r="BQ221" s="267"/>
      <c r="BR221" s="266"/>
      <c r="BS221" s="267"/>
      <c r="BT221" s="260"/>
      <c r="BU221" s="267"/>
      <c r="BV221" s="271"/>
    </row>
    <row r="222" spans="1:74" s="272" customFormat="1" ht="15" customHeight="1" x14ac:dyDescent="0.25">
      <c r="A222" s="257" t="s">
        <v>459</v>
      </c>
      <c r="B222" s="258" t="s">
        <v>460</v>
      </c>
      <c r="C222" s="259" t="s">
        <v>54</v>
      </c>
      <c r="D222" s="260">
        <v>294</v>
      </c>
      <c r="E222" s="261" t="s">
        <v>221</v>
      </c>
      <c r="F222" s="261" t="s">
        <v>1517</v>
      </c>
      <c r="G222" s="262" t="s">
        <v>1518</v>
      </c>
      <c r="H222" s="260" t="s">
        <v>1407</v>
      </c>
      <c r="I222" s="280">
        <v>45077</v>
      </c>
      <c r="J222" s="260" t="s">
        <v>59</v>
      </c>
      <c r="K222" s="261" t="s">
        <v>128</v>
      </c>
      <c r="L222" s="261" t="s">
        <v>61</v>
      </c>
      <c r="M222" s="261" t="s">
        <v>1519</v>
      </c>
      <c r="N222" s="260">
        <v>80131502</v>
      </c>
      <c r="O222" s="265" t="s">
        <v>638</v>
      </c>
      <c r="P222" s="265">
        <v>13500000</v>
      </c>
      <c r="Q222" s="266">
        <v>12600000</v>
      </c>
      <c r="R222" s="260">
        <v>39323</v>
      </c>
      <c r="S222" s="260" t="s">
        <v>131</v>
      </c>
      <c r="T222" s="261" t="s">
        <v>516</v>
      </c>
      <c r="U222" s="261" t="s">
        <v>517</v>
      </c>
      <c r="V222" s="260"/>
      <c r="W222" s="267"/>
      <c r="X222" s="260"/>
      <c r="Y222" s="275"/>
      <c r="Z222" s="261"/>
      <c r="AA222" s="260"/>
      <c r="AB222" s="260"/>
      <c r="AC222" s="260"/>
      <c r="AD222" s="260"/>
      <c r="AE222" s="260"/>
      <c r="AF222" s="260"/>
      <c r="AG222" s="261"/>
      <c r="AH222" s="261"/>
      <c r="AI222" s="261"/>
      <c r="AJ222" s="261"/>
      <c r="AK222" s="260"/>
      <c r="AL222" s="268"/>
      <c r="AM222" s="260"/>
      <c r="AN222" s="275"/>
      <c r="AO222" s="266"/>
      <c r="AP222" s="260"/>
      <c r="AQ222" s="231"/>
      <c r="AR222" s="260"/>
      <c r="AS222" s="235"/>
      <c r="AT222" s="261"/>
      <c r="AU222" s="275"/>
      <c r="AV222" s="274"/>
      <c r="AW222" s="275"/>
      <c r="AX222" s="275"/>
      <c r="AY222" s="260"/>
      <c r="AZ222" s="265"/>
      <c r="BA222" s="261"/>
      <c r="BB222" s="266"/>
      <c r="BC222" s="267"/>
      <c r="BD222" s="260"/>
      <c r="BE222" s="267"/>
      <c r="BF222" s="260"/>
      <c r="BG222" s="267"/>
      <c r="BH222" s="266"/>
      <c r="BI222" s="267"/>
      <c r="BJ222" s="266"/>
      <c r="BK222" s="267"/>
      <c r="BL222" s="267"/>
      <c r="BM222" s="267"/>
      <c r="BN222" s="267"/>
      <c r="BO222" s="260"/>
      <c r="BP222" s="267"/>
      <c r="BQ222" s="267"/>
      <c r="BR222" s="266"/>
      <c r="BS222" s="267"/>
      <c r="BT222" s="260"/>
      <c r="BU222" s="267"/>
      <c r="BV222" s="271"/>
    </row>
    <row r="223" spans="1:74" s="261" customFormat="1" ht="15" customHeight="1" x14ac:dyDescent="0.25">
      <c r="A223" s="258" t="s">
        <v>459</v>
      </c>
      <c r="B223" s="258" t="s">
        <v>460</v>
      </c>
      <c r="C223" s="259" t="s">
        <v>54</v>
      </c>
      <c r="D223" s="291">
        <v>147</v>
      </c>
      <c r="E223" s="260" t="s">
        <v>345</v>
      </c>
      <c r="F223" s="291" t="s">
        <v>1525</v>
      </c>
      <c r="G223" s="267" t="s">
        <v>1526</v>
      </c>
      <c r="H223" s="260" t="s">
        <v>1527</v>
      </c>
      <c r="I223" s="280">
        <v>45075</v>
      </c>
      <c r="J223" s="260" t="s">
        <v>59</v>
      </c>
      <c r="K223" s="260" t="s">
        <v>128</v>
      </c>
      <c r="L223" s="260" t="s">
        <v>340</v>
      </c>
      <c r="M223" s="260" t="s">
        <v>1528</v>
      </c>
      <c r="N223" s="260">
        <v>80131502</v>
      </c>
      <c r="O223" s="266" t="s">
        <v>933</v>
      </c>
      <c r="P223" s="266">
        <v>9730000</v>
      </c>
      <c r="Q223" s="266">
        <v>9730000</v>
      </c>
      <c r="R223" s="260">
        <v>39123</v>
      </c>
      <c r="S223" s="260" t="s">
        <v>131</v>
      </c>
      <c r="T223" s="260" t="s">
        <v>516</v>
      </c>
      <c r="U223" s="260"/>
      <c r="V223" s="260"/>
      <c r="W223" s="267"/>
      <c r="X223" s="260"/>
      <c r="Y223" s="267"/>
      <c r="Z223" s="260"/>
      <c r="AA223" s="260"/>
      <c r="AB223" s="260"/>
      <c r="AC223" s="260"/>
      <c r="AD223" s="260"/>
      <c r="AE223" s="260"/>
      <c r="AF223" s="260"/>
      <c r="AG223" s="260"/>
      <c r="AH223" s="260"/>
      <c r="AK223" s="260"/>
      <c r="AL223" s="268"/>
      <c r="AM223" s="260"/>
      <c r="AN223" s="267"/>
      <c r="AO223" s="266"/>
      <c r="AP223" s="260"/>
      <c r="AQ223" s="231"/>
      <c r="AR223" s="260"/>
      <c r="AS223" s="231"/>
      <c r="AT223" s="260"/>
      <c r="AU223" s="267"/>
      <c r="AV223" s="267"/>
      <c r="AW223" s="267"/>
      <c r="AX223" s="267"/>
      <c r="AY223" s="259">
        <f t="shared" ref="AY223:AY224" si="28">(AX223-AW223)</f>
        <v>0</v>
      </c>
      <c r="AZ223" s="266"/>
      <c r="BA223" s="260"/>
      <c r="BB223" s="266"/>
      <c r="BC223" s="267"/>
      <c r="BD223" s="260"/>
      <c r="BE223" s="267"/>
      <c r="BF223" s="260"/>
      <c r="BG223" s="267"/>
      <c r="BH223" s="266"/>
      <c r="BI223" s="267"/>
      <c r="BJ223" s="270" t="e">
        <f>([10]!Tabla1[[#This Row],[VALOR TOTAL CONTRATO + VF]]+[10]!Tabla1[[#This Row],[ADICION 1 ]]+[10]!Tabla1[[#This Row],[ADICION 2]]-[10]!Tabla1[[#This Row],[LIBERACION]])</f>
        <v>#VALUE!</v>
      </c>
      <c r="BK223" s="267"/>
      <c r="BL223" s="267"/>
      <c r="BM223" s="267"/>
      <c r="BN223" s="267"/>
      <c r="BO223" s="260"/>
      <c r="BP223" s="267"/>
      <c r="BQ223" s="267"/>
      <c r="BR223" s="266"/>
      <c r="BS223" s="267"/>
      <c r="BT223" s="260">
        <f t="shared" ref="BT223:BT232" si="29">SUM(AY223+BK223+BN223+BQ223)</f>
        <v>0</v>
      </c>
      <c r="BU223" s="267"/>
      <c r="BV223" s="271"/>
    </row>
    <row r="224" spans="1:74" s="261" customFormat="1" ht="15" customHeight="1" x14ac:dyDescent="0.25">
      <c r="A224" s="258" t="s">
        <v>459</v>
      </c>
      <c r="B224" s="258" t="s">
        <v>460</v>
      </c>
      <c r="C224" s="259" t="s">
        <v>54</v>
      </c>
      <c r="D224" s="291">
        <v>150</v>
      </c>
      <c r="E224" s="260" t="s">
        <v>345</v>
      </c>
      <c r="F224" s="291" t="s">
        <v>1529</v>
      </c>
      <c r="G224" s="267" t="s">
        <v>1530</v>
      </c>
      <c r="H224" s="260" t="s">
        <v>1527</v>
      </c>
      <c r="I224" s="280">
        <v>45077</v>
      </c>
      <c r="J224" s="260" t="s">
        <v>59</v>
      </c>
      <c r="K224" s="260" t="s">
        <v>128</v>
      </c>
      <c r="L224" s="260" t="s">
        <v>340</v>
      </c>
      <c r="M224" s="260" t="s">
        <v>1531</v>
      </c>
      <c r="N224" s="260">
        <v>80131502</v>
      </c>
      <c r="O224" s="266" t="s">
        <v>933</v>
      </c>
      <c r="P224" s="266">
        <v>96350354</v>
      </c>
      <c r="Q224" s="266">
        <v>96327429</v>
      </c>
      <c r="R224" s="260">
        <v>39623</v>
      </c>
      <c r="S224" s="260" t="s">
        <v>131</v>
      </c>
      <c r="T224" s="260" t="s">
        <v>64</v>
      </c>
      <c r="U224" s="260" t="s">
        <v>65</v>
      </c>
      <c r="V224" s="260" t="s">
        <v>517</v>
      </c>
      <c r="W224" s="267" t="s">
        <v>1532</v>
      </c>
      <c r="X224" s="260" t="s">
        <v>1527</v>
      </c>
      <c r="Y224" s="267">
        <v>45077</v>
      </c>
      <c r="Z224" s="260" t="s">
        <v>1533</v>
      </c>
      <c r="AA224" s="260"/>
      <c r="AB224" s="260" t="s">
        <v>1534</v>
      </c>
      <c r="AC224" s="260" t="s">
        <v>69</v>
      </c>
      <c r="AD224" s="260" t="s">
        <v>1535</v>
      </c>
      <c r="AE224" s="260">
        <v>830087099</v>
      </c>
      <c r="AF224" s="260">
        <v>3</v>
      </c>
      <c r="AG224" s="260" t="s">
        <v>517</v>
      </c>
      <c r="AH224" s="260"/>
      <c r="AK224" s="260" t="s">
        <v>517</v>
      </c>
      <c r="AL224" s="268" t="e">
        <f ca="1">+YEAR(TODAY())-YEAR([10]!Tabla1[[#This Row],[FECHA DE NACIMIENTO]])</f>
        <v>#REF!</v>
      </c>
      <c r="AM224" s="260">
        <v>95223</v>
      </c>
      <c r="AN224" s="267">
        <v>45077</v>
      </c>
      <c r="AO224" s="266">
        <v>96327429</v>
      </c>
      <c r="AP224" s="260"/>
      <c r="AQ224" s="231"/>
      <c r="AR224" s="260"/>
      <c r="AS224" s="231">
        <v>96327429</v>
      </c>
      <c r="AT224" s="260" t="s">
        <v>478</v>
      </c>
      <c r="AU224" s="267" t="s">
        <v>517</v>
      </c>
      <c r="AV224" s="267" t="s">
        <v>517</v>
      </c>
      <c r="AW224" s="267">
        <v>45077</v>
      </c>
      <c r="AX224" s="267">
        <v>45291</v>
      </c>
      <c r="AY224" s="259">
        <f t="shared" si="28"/>
        <v>214</v>
      </c>
      <c r="AZ224" s="266" t="s">
        <v>1536</v>
      </c>
      <c r="BA224" s="268">
        <v>1061548</v>
      </c>
      <c r="BB224" s="266"/>
      <c r="BC224" s="267"/>
      <c r="BD224" s="260"/>
      <c r="BE224" s="267"/>
      <c r="BF224" s="260"/>
      <c r="BG224" s="267"/>
      <c r="BH224" s="266"/>
      <c r="BI224" s="267"/>
      <c r="BJ224" s="270" t="e">
        <f>([10]!Tabla1[[#This Row],[VALOR TOTAL CONTRATO + VF]]+[10]!Tabla1[[#This Row],[ADICION 1 ]]+[10]!Tabla1[[#This Row],[ADICION 2]]-[10]!Tabla1[[#This Row],[LIBERACION]])</f>
        <v>#VALUE!</v>
      </c>
      <c r="BK224" s="267"/>
      <c r="BL224" s="267"/>
      <c r="BM224" s="267"/>
      <c r="BN224" s="267"/>
      <c r="BO224" s="260"/>
      <c r="BP224" s="267"/>
      <c r="BQ224" s="267"/>
      <c r="BR224" s="266"/>
      <c r="BS224" s="267"/>
      <c r="BT224" s="260">
        <f t="shared" si="29"/>
        <v>214</v>
      </c>
      <c r="BU224" s="267"/>
      <c r="BV224" s="271"/>
    </row>
    <row r="225" spans="1:181" s="272" customFormat="1" ht="15" customHeight="1" x14ac:dyDescent="0.25">
      <c r="A225" s="293" t="s">
        <v>459</v>
      </c>
      <c r="B225" s="294" t="s">
        <v>460</v>
      </c>
      <c r="C225" s="295" t="s">
        <v>54</v>
      </c>
      <c r="D225" s="296">
        <v>148</v>
      </c>
      <c r="E225" s="315" t="s">
        <v>409</v>
      </c>
      <c r="F225" s="296" t="s">
        <v>1550</v>
      </c>
      <c r="G225" s="297" t="s">
        <v>1551</v>
      </c>
      <c r="H225" s="249" t="s">
        <v>1407</v>
      </c>
      <c r="I225" s="280">
        <v>45076</v>
      </c>
      <c r="J225" s="272" t="s">
        <v>59</v>
      </c>
      <c r="K225" s="272" t="s">
        <v>128</v>
      </c>
      <c r="L225" s="295" t="s">
        <v>766</v>
      </c>
      <c r="M225" s="328" t="s">
        <v>1552</v>
      </c>
      <c r="N225" s="295">
        <v>80131502</v>
      </c>
      <c r="O225" s="328" t="s">
        <v>1553</v>
      </c>
      <c r="P225" s="329">
        <v>11637500</v>
      </c>
      <c r="Q225" s="299">
        <v>11637500</v>
      </c>
      <c r="R225" s="296">
        <v>39223</v>
      </c>
      <c r="S225" s="300" t="s">
        <v>131</v>
      </c>
      <c r="T225" s="261" t="s">
        <v>1554</v>
      </c>
      <c r="U225" s="261"/>
      <c r="V225" s="261"/>
      <c r="W225" s="275"/>
      <c r="X225" s="261"/>
      <c r="Y225" s="261"/>
      <c r="Z225" s="261"/>
      <c r="AA225" s="261"/>
      <c r="AB225" s="261"/>
      <c r="AC225" s="261"/>
      <c r="AD225" s="261"/>
      <c r="AE225" s="261"/>
      <c r="AF225" s="261"/>
      <c r="AG225" s="261"/>
      <c r="AH225" s="261"/>
      <c r="AI225" s="261"/>
      <c r="AJ225" s="261"/>
      <c r="AK225" s="261"/>
      <c r="AL225" s="275"/>
      <c r="AM225" s="270"/>
      <c r="AN225" s="261"/>
      <c r="AO225" s="261"/>
      <c r="AP225" s="261"/>
      <c r="AQ225" s="292"/>
      <c r="AR225" s="261"/>
      <c r="AS225" s="330">
        <f t="shared" ref="AS225:AS232" si="30">SUM(AO225+AP225+AQ225+AR225)</f>
        <v>0</v>
      </c>
      <c r="AT225" s="261"/>
      <c r="AU225" s="275"/>
      <c r="AV225" s="275"/>
      <c r="AW225" s="261"/>
      <c r="AX225" s="261"/>
      <c r="AY225" s="261"/>
      <c r="AZ225" s="270"/>
      <c r="BA225" s="275"/>
      <c r="BB225" s="261"/>
      <c r="BC225" s="261"/>
      <c r="BD225" s="261"/>
      <c r="BE225" s="275"/>
      <c r="BF225" s="261"/>
      <c r="BG225" s="275"/>
      <c r="BH225" s="270"/>
      <c r="BI225" s="261"/>
      <c r="BJ225" s="275"/>
      <c r="BK225" s="275"/>
      <c r="BL225" s="261"/>
      <c r="BM225" s="261"/>
      <c r="BN225" s="275"/>
      <c r="BO225" s="261"/>
      <c r="BP225" s="270"/>
      <c r="BQ225" s="275"/>
      <c r="BR225" s="261"/>
      <c r="BS225" s="275"/>
      <c r="BT225" s="261">
        <f t="shared" si="29"/>
        <v>0</v>
      </c>
      <c r="BU225" s="261"/>
      <c r="BV225" s="261"/>
      <c r="BW225" s="261"/>
      <c r="BX225" s="261"/>
      <c r="BY225" s="261"/>
      <c r="BZ225" s="274"/>
    </row>
    <row r="226" spans="1:181" s="272" customFormat="1" ht="15" customHeight="1" x14ac:dyDescent="0.25">
      <c r="A226" s="291" t="s">
        <v>459</v>
      </c>
      <c r="B226" s="291" t="s">
        <v>460</v>
      </c>
      <c r="C226" s="291" t="s">
        <v>481</v>
      </c>
      <c r="D226" s="261">
        <v>124</v>
      </c>
      <c r="E226" s="315" t="s">
        <v>409</v>
      </c>
      <c r="F226" s="261" t="s">
        <v>1555</v>
      </c>
      <c r="G226" s="273">
        <v>151906</v>
      </c>
      <c r="H226" s="249" t="s">
        <v>1407</v>
      </c>
      <c r="I226" s="280">
        <v>45075</v>
      </c>
      <c r="J226" s="261" t="s">
        <v>1120</v>
      </c>
      <c r="K226" s="261" t="s">
        <v>1121</v>
      </c>
      <c r="L226" s="291" t="s">
        <v>766</v>
      </c>
      <c r="M226" s="260" t="s">
        <v>1556</v>
      </c>
      <c r="N226" s="291">
        <v>44103100</v>
      </c>
      <c r="O226" s="260" t="s">
        <v>1557</v>
      </c>
      <c r="P226" s="303">
        <v>107000000</v>
      </c>
      <c r="Q226" s="303">
        <v>106240641.38</v>
      </c>
      <c r="R226" s="260">
        <v>40623</v>
      </c>
      <c r="S226" s="260" t="s">
        <v>1136</v>
      </c>
      <c r="T226" s="261" t="s">
        <v>1554</v>
      </c>
      <c r="U226" s="261"/>
      <c r="V226" s="261"/>
      <c r="W226" s="275"/>
      <c r="X226" s="261"/>
      <c r="Y226" s="261"/>
      <c r="Z226" s="261"/>
      <c r="AA226" s="261"/>
      <c r="AB226" s="261"/>
      <c r="AC226" s="261"/>
      <c r="AD226" s="261"/>
      <c r="AE226" s="261"/>
      <c r="AF226" s="261"/>
      <c r="AG226" s="261"/>
      <c r="AH226" s="261"/>
      <c r="AI226" s="261"/>
      <c r="AJ226" s="261"/>
      <c r="AK226" s="261"/>
      <c r="AL226" s="275"/>
      <c r="AM226" s="270"/>
      <c r="AN226" s="261"/>
      <c r="AO226" s="261"/>
      <c r="AP226" s="261"/>
      <c r="AQ226" s="292"/>
      <c r="AR226" s="261"/>
      <c r="AS226" s="330">
        <f t="shared" si="30"/>
        <v>0</v>
      </c>
      <c r="AT226" s="261"/>
      <c r="AU226" s="275"/>
      <c r="AV226" s="275"/>
      <c r="AW226" s="261"/>
      <c r="AX226" s="261"/>
      <c r="AY226" s="261"/>
      <c r="AZ226" s="270"/>
      <c r="BA226" s="275"/>
      <c r="BB226" s="261"/>
      <c r="BC226" s="261"/>
      <c r="BD226" s="261"/>
      <c r="BE226" s="331"/>
      <c r="BF226" s="261"/>
      <c r="BG226" s="275"/>
      <c r="BH226" s="270"/>
      <c r="BI226" s="261"/>
      <c r="BJ226" s="275"/>
      <c r="BK226" s="275"/>
      <c r="BL226" s="261"/>
      <c r="BM226" s="261"/>
      <c r="BN226" s="275"/>
      <c r="BO226" s="261"/>
      <c r="BP226" s="270"/>
      <c r="BQ226" s="275"/>
      <c r="BR226" s="261"/>
      <c r="BS226" s="275"/>
      <c r="BT226" s="261">
        <f t="shared" si="29"/>
        <v>0</v>
      </c>
      <c r="BU226" s="261"/>
      <c r="BV226" s="261"/>
      <c r="BW226" s="261"/>
      <c r="BX226" s="261"/>
      <c r="BY226" s="261"/>
      <c r="BZ226" s="274"/>
    </row>
    <row r="227" spans="1:181" s="272" customFormat="1" ht="15" customHeight="1" x14ac:dyDescent="0.25">
      <c r="A227" s="291" t="s">
        <v>459</v>
      </c>
      <c r="B227" s="291" t="s">
        <v>460</v>
      </c>
      <c r="C227" s="291" t="s">
        <v>481</v>
      </c>
      <c r="D227" s="261">
        <v>124</v>
      </c>
      <c r="E227" s="315" t="s">
        <v>409</v>
      </c>
      <c r="F227" s="261" t="s">
        <v>1558</v>
      </c>
      <c r="G227" s="273">
        <v>151948</v>
      </c>
      <c r="H227" s="249" t="s">
        <v>1407</v>
      </c>
      <c r="I227" s="280">
        <v>45075</v>
      </c>
      <c r="J227" s="261" t="s">
        <v>1120</v>
      </c>
      <c r="K227" s="261" t="s">
        <v>1121</v>
      </c>
      <c r="L227" s="291" t="s">
        <v>766</v>
      </c>
      <c r="M227" s="260" t="s">
        <v>1556</v>
      </c>
      <c r="N227" s="291">
        <v>44103100</v>
      </c>
      <c r="O227" s="260" t="s">
        <v>1557</v>
      </c>
      <c r="P227" s="303">
        <v>107000000</v>
      </c>
      <c r="Q227" s="303">
        <v>106240641.38</v>
      </c>
      <c r="R227" s="260">
        <v>40623</v>
      </c>
      <c r="S227" s="260" t="s">
        <v>1136</v>
      </c>
      <c r="T227" s="261" t="s">
        <v>1554</v>
      </c>
      <c r="U227" s="261"/>
      <c r="V227" s="261"/>
      <c r="W227" s="275"/>
      <c r="X227" s="261"/>
      <c r="Y227" s="261"/>
      <c r="Z227" s="261"/>
      <c r="AA227" s="261"/>
      <c r="AB227" s="261"/>
      <c r="AC227" s="261"/>
      <c r="AD227" s="261"/>
      <c r="AE227" s="261"/>
      <c r="AF227" s="261"/>
      <c r="AG227" s="261"/>
      <c r="AH227" s="261"/>
      <c r="AI227" s="261"/>
      <c r="AJ227" s="261"/>
      <c r="AK227" s="261"/>
      <c r="AL227" s="275"/>
      <c r="AM227" s="270"/>
      <c r="AN227" s="261"/>
      <c r="AO227" s="261"/>
      <c r="AP227" s="261"/>
      <c r="AQ227" s="292"/>
      <c r="AR227" s="261"/>
      <c r="AS227" s="330">
        <f t="shared" si="30"/>
        <v>0</v>
      </c>
      <c r="AT227" s="261"/>
      <c r="AU227" s="275"/>
      <c r="AV227" s="275"/>
      <c r="AW227" s="261"/>
      <c r="AX227" s="261"/>
      <c r="AY227" s="261"/>
      <c r="AZ227" s="270"/>
      <c r="BA227" s="275"/>
      <c r="BB227" s="261"/>
      <c r="BC227" s="261"/>
      <c r="BD227" s="261"/>
      <c r="BE227" s="331"/>
      <c r="BF227" s="270"/>
      <c r="BG227" s="275"/>
      <c r="BH227" s="270"/>
      <c r="BI227" s="261"/>
      <c r="BJ227" s="275"/>
      <c r="BK227" s="275"/>
      <c r="BL227" s="261"/>
      <c r="BM227" s="261"/>
      <c r="BN227" s="275"/>
      <c r="BO227" s="261"/>
      <c r="BP227" s="270"/>
      <c r="BQ227" s="275"/>
      <c r="BR227" s="261"/>
      <c r="BS227" s="275"/>
      <c r="BT227" s="261">
        <f t="shared" si="29"/>
        <v>0</v>
      </c>
      <c r="BU227" s="261"/>
      <c r="BV227" s="261"/>
      <c r="BW227" s="261"/>
      <c r="BX227" s="261"/>
      <c r="BY227" s="261"/>
      <c r="BZ227" s="274"/>
    </row>
    <row r="228" spans="1:181" s="272" customFormat="1" ht="15" customHeight="1" x14ac:dyDescent="0.25">
      <c r="A228" s="291" t="s">
        <v>459</v>
      </c>
      <c r="B228" s="291" t="s">
        <v>460</v>
      </c>
      <c r="C228" s="291" t="s">
        <v>481</v>
      </c>
      <c r="D228" s="261">
        <v>124</v>
      </c>
      <c r="E228" s="315" t="s">
        <v>409</v>
      </c>
      <c r="F228" s="261" t="s">
        <v>1559</v>
      </c>
      <c r="G228" s="273">
        <v>151949</v>
      </c>
      <c r="H228" s="249" t="s">
        <v>1407</v>
      </c>
      <c r="I228" s="280">
        <v>45075</v>
      </c>
      <c r="J228" s="261" t="s">
        <v>1120</v>
      </c>
      <c r="K228" s="261" t="s">
        <v>1121</v>
      </c>
      <c r="L228" s="291" t="s">
        <v>766</v>
      </c>
      <c r="M228" s="260" t="s">
        <v>1556</v>
      </c>
      <c r="N228" s="291">
        <v>44103100</v>
      </c>
      <c r="O228" s="260" t="s">
        <v>1557</v>
      </c>
      <c r="P228" s="303">
        <v>107000000</v>
      </c>
      <c r="Q228" s="303">
        <v>106240641.38</v>
      </c>
      <c r="R228" s="260">
        <v>40623</v>
      </c>
      <c r="S228" s="260" t="s">
        <v>1136</v>
      </c>
      <c r="T228" s="261" t="s">
        <v>1554</v>
      </c>
      <c r="U228" s="261"/>
      <c r="V228" s="261"/>
      <c r="W228" s="275"/>
      <c r="X228" s="261"/>
      <c r="Y228" s="261"/>
      <c r="Z228" s="261"/>
      <c r="AA228" s="261"/>
      <c r="AB228" s="261"/>
      <c r="AC228" s="261"/>
      <c r="AD228" s="261"/>
      <c r="AE228" s="261"/>
      <c r="AF228" s="261"/>
      <c r="AG228" s="261"/>
      <c r="AH228" s="261"/>
      <c r="AI228" s="261"/>
      <c r="AJ228" s="261"/>
      <c r="AK228" s="261"/>
      <c r="AL228" s="275"/>
      <c r="AM228" s="270"/>
      <c r="AN228" s="261"/>
      <c r="AO228" s="261"/>
      <c r="AP228" s="261"/>
      <c r="AQ228" s="292"/>
      <c r="AR228" s="261"/>
      <c r="AS228" s="330">
        <f t="shared" si="30"/>
        <v>0</v>
      </c>
      <c r="AT228" s="261"/>
      <c r="AU228" s="275"/>
      <c r="AV228" s="275"/>
      <c r="AW228" s="261"/>
      <c r="AX228" s="261"/>
      <c r="AY228" s="261"/>
      <c r="AZ228" s="270"/>
      <c r="BA228" s="275"/>
      <c r="BB228" s="261"/>
      <c r="BC228" s="261"/>
      <c r="BD228" s="261"/>
      <c r="BE228" s="304"/>
      <c r="BF228" s="261"/>
      <c r="BG228" s="275"/>
      <c r="BH228" s="270"/>
      <c r="BI228" s="261"/>
      <c r="BJ228" s="275"/>
      <c r="BK228" s="275"/>
      <c r="BL228" s="261"/>
      <c r="BM228" s="261"/>
      <c r="BN228" s="275"/>
      <c r="BO228" s="261"/>
      <c r="BP228" s="270"/>
      <c r="BQ228" s="275"/>
      <c r="BR228" s="261"/>
      <c r="BS228" s="275"/>
      <c r="BT228" s="261">
        <f t="shared" si="29"/>
        <v>0</v>
      </c>
      <c r="BU228" s="261"/>
      <c r="BV228" s="261"/>
      <c r="BW228" s="261"/>
      <c r="BX228" s="261"/>
      <c r="BY228" s="261"/>
      <c r="BZ228" s="274"/>
    </row>
    <row r="229" spans="1:181" s="272" customFormat="1" ht="15" customHeight="1" x14ac:dyDescent="0.25">
      <c r="A229" s="291" t="s">
        <v>459</v>
      </c>
      <c r="B229" s="291" t="s">
        <v>460</v>
      </c>
      <c r="C229" s="291" t="s">
        <v>481</v>
      </c>
      <c r="D229" s="261">
        <v>124</v>
      </c>
      <c r="E229" s="315" t="s">
        <v>409</v>
      </c>
      <c r="F229" s="261" t="s">
        <v>1560</v>
      </c>
      <c r="G229" s="273">
        <v>51950</v>
      </c>
      <c r="H229" s="249" t="s">
        <v>1407</v>
      </c>
      <c r="I229" s="280">
        <v>45075</v>
      </c>
      <c r="J229" s="261" t="s">
        <v>1120</v>
      </c>
      <c r="K229" s="261" t="s">
        <v>1121</v>
      </c>
      <c r="L229" s="291" t="s">
        <v>766</v>
      </c>
      <c r="M229" s="260" t="s">
        <v>1556</v>
      </c>
      <c r="N229" s="291">
        <v>44103100</v>
      </c>
      <c r="O229" s="260" t="s">
        <v>1557</v>
      </c>
      <c r="P229" s="303">
        <v>107000000</v>
      </c>
      <c r="Q229" s="303">
        <v>106240641.38</v>
      </c>
      <c r="R229" s="260">
        <v>40623</v>
      </c>
      <c r="S229" s="260" t="s">
        <v>1136</v>
      </c>
      <c r="T229" s="261" t="s">
        <v>1554</v>
      </c>
      <c r="U229" s="261"/>
      <c r="V229" s="261"/>
      <c r="W229" s="275"/>
      <c r="X229" s="261"/>
      <c r="Y229" s="261"/>
      <c r="Z229" s="261"/>
      <c r="AA229" s="261"/>
      <c r="AB229" s="261"/>
      <c r="AC229" s="261"/>
      <c r="AD229" s="261"/>
      <c r="AE229" s="261"/>
      <c r="AF229" s="261"/>
      <c r="AG229" s="261"/>
      <c r="AH229" s="261"/>
      <c r="AI229" s="261"/>
      <c r="AJ229" s="261"/>
      <c r="AK229" s="261"/>
      <c r="AL229" s="275"/>
      <c r="AM229" s="270"/>
      <c r="AN229" s="261"/>
      <c r="AO229" s="261"/>
      <c r="AP229" s="261"/>
      <c r="AQ229" s="292"/>
      <c r="AR229" s="261"/>
      <c r="AS229" s="330">
        <f t="shared" si="30"/>
        <v>0</v>
      </c>
      <c r="AT229" s="261"/>
      <c r="AU229" s="275"/>
      <c r="AV229" s="275"/>
      <c r="AW229" s="261"/>
      <c r="AX229" s="261"/>
      <c r="AY229" s="261"/>
      <c r="AZ229" s="270"/>
      <c r="BA229" s="275"/>
      <c r="BB229" s="261"/>
      <c r="BC229" s="261"/>
      <c r="BD229" s="261"/>
      <c r="BE229" s="275"/>
      <c r="BF229" s="261"/>
      <c r="BG229" s="275"/>
      <c r="BH229" s="270"/>
      <c r="BI229" s="261"/>
      <c r="BJ229" s="275"/>
      <c r="BK229" s="275"/>
      <c r="BL229" s="261"/>
      <c r="BM229" s="261"/>
      <c r="BN229" s="275"/>
      <c r="BO229" s="261"/>
      <c r="BP229" s="270"/>
      <c r="BQ229" s="275"/>
      <c r="BR229" s="261"/>
      <c r="BS229" s="275"/>
      <c r="BT229" s="261">
        <f t="shared" si="29"/>
        <v>0</v>
      </c>
      <c r="BU229" s="261"/>
      <c r="BV229" s="261"/>
      <c r="BW229" s="261"/>
      <c r="BX229" s="261"/>
      <c r="BY229" s="261"/>
      <c r="BZ229" s="274"/>
    </row>
    <row r="230" spans="1:181" s="272" customFormat="1" ht="15" customHeight="1" x14ac:dyDescent="0.25">
      <c r="A230" s="291" t="s">
        <v>459</v>
      </c>
      <c r="B230" s="291" t="s">
        <v>460</v>
      </c>
      <c r="C230" s="291" t="s">
        <v>481</v>
      </c>
      <c r="D230" s="261">
        <v>124</v>
      </c>
      <c r="E230" s="315" t="s">
        <v>409</v>
      </c>
      <c r="F230" s="261" t="s">
        <v>1561</v>
      </c>
      <c r="G230" s="273">
        <v>151951</v>
      </c>
      <c r="H230" s="249" t="s">
        <v>1407</v>
      </c>
      <c r="I230" s="280">
        <v>45075</v>
      </c>
      <c r="J230" s="261" t="s">
        <v>1120</v>
      </c>
      <c r="K230" s="261" t="s">
        <v>1121</v>
      </c>
      <c r="L230" s="291" t="s">
        <v>766</v>
      </c>
      <c r="M230" s="260" t="s">
        <v>1556</v>
      </c>
      <c r="N230" s="291">
        <v>44103100</v>
      </c>
      <c r="O230" s="260" t="s">
        <v>1557</v>
      </c>
      <c r="P230" s="303">
        <v>107000000</v>
      </c>
      <c r="Q230" s="303">
        <v>106240641.38</v>
      </c>
      <c r="R230" s="260">
        <v>40623</v>
      </c>
      <c r="S230" s="260" t="s">
        <v>1136</v>
      </c>
      <c r="T230" s="261" t="s">
        <v>1554</v>
      </c>
      <c r="U230" s="261"/>
      <c r="V230" s="261"/>
      <c r="W230" s="275"/>
      <c r="X230" s="261"/>
      <c r="Y230" s="261"/>
      <c r="Z230" s="261"/>
      <c r="AA230" s="261"/>
      <c r="AB230" s="261"/>
      <c r="AC230" s="261"/>
      <c r="AD230" s="261"/>
      <c r="AE230" s="261"/>
      <c r="AF230" s="261"/>
      <c r="AG230" s="261"/>
      <c r="AH230" s="261"/>
      <c r="AI230" s="261"/>
      <c r="AJ230" s="261"/>
      <c r="AK230" s="261"/>
      <c r="AL230" s="275"/>
      <c r="AM230" s="270"/>
      <c r="AN230" s="261"/>
      <c r="AO230" s="261"/>
      <c r="AP230" s="261"/>
      <c r="AQ230" s="292"/>
      <c r="AR230" s="261"/>
      <c r="AS230" s="330">
        <f t="shared" si="30"/>
        <v>0</v>
      </c>
      <c r="AT230" s="261"/>
      <c r="AU230" s="275"/>
      <c r="AV230" s="275"/>
      <c r="AW230" s="261"/>
      <c r="AX230" s="261"/>
      <c r="AY230" s="261"/>
      <c r="AZ230" s="270"/>
      <c r="BA230" s="275"/>
      <c r="BB230" s="261"/>
      <c r="BC230" s="261"/>
      <c r="BD230" s="261"/>
      <c r="BE230" s="275"/>
      <c r="BF230" s="261"/>
      <c r="BG230" s="275"/>
      <c r="BH230" s="270"/>
      <c r="BI230" s="261"/>
      <c r="BJ230" s="275"/>
      <c r="BK230" s="275"/>
      <c r="BL230" s="261"/>
      <c r="BM230" s="261"/>
      <c r="BN230" s="275"/>
      <c r="BO230" s="261"/>
      <c r="BP230" s="270"/>
      <c r="BQ230" s="275"/>
      <c r="BR230" s="261"/>
      <c r="BS230" s="275"/>
      <c r="BT230" s="261">
        <f t="shared" si="29"/>
        <v>0</v>
      </c>
      <c r="BU230" s="261"/>
      <c r="BV230" s="261"/>
      <c r="BW230" s="261"/>
      <c r="BX230" s="261"/>
      <c r="BY230" s="261"/>
      <c r="BZ230" s="274"/>
    </row>
    <row r="231" spans="1:181" s="272" customFormat="1" ht="15" customHeight="1" x14ac:dyDescent="0.25">
      <c r="A231" s="291" t="s">
        <v>459</v>
      </c>
      <c r="B231" s="291" t="s">
        <v>460</v>
      </c>
      <c r="C231" s="291" t="s">
        <v>481</v>
      </c>
      <c r="D231" s="261">
        <v>124</v>
      </c>
      <c r="E231" s="315" t="s">
        <v>409</v>
      </c>
      <c r="F231" s="261" t="s">
        <v>1562</v>
      </c>
      <c r="G231" s="273">
        <v>151952</v>
      </c>
      <c r="H231" s="249" t="s">
        <v>1407</v>
      </c>
      <c r="I231" s="280">
        <v>45075</v>
      </c>
      <c r="J231" s="261" t="s">
        <v>1120</v>
      </c>
      <c r="K231" s="261" t="s">
        <v>1121</v>
      </c>
      <c r="L231" s="291" t="s">
        <v>766</v>
      </c>
      <c r="M231" s="260" t="s">
        <v>1556</v>
      </c>
      <c r="N231" s="291">
        <v>44103100</v>
      </c>
      <c r="O231" s="260" t="s">
        <v>1557</v>
      </c>
      <c r="P231" s="303">
        <v>107000000</v>
      </c>
      <c r="Q231" s="303">
        <v>106240641.38</v>
      </c>
      <c r="R231" s="260">
        <v>40623</v>
      </c>
      <c r="S231" s="260" t="s">
        <v>1136</v>
      </c>
      <c r="T231" s="261" t="s">
        <v>1554</v>
      </c>
      <c r="U231" s="261"/>
      <c r="V231" s="261"/>
      <c r="W231" s="275"/>
      <c r="X231" s="261"/>
      <c r="Y231" s="261"/>
      <c r="Z231" s="261"/>
      <c r="AA231" s="261"/>
      <c r="AB231" s="261"/>
      <c r="AC231" s="261"/>
      <c r="AD231" s="261"/>
      <c r="AE231" s="261"/>
      <c r="AF231" s="261"/>
      <c r="AG231" s="261"/>
      <c r="AH231" s="261"/>
      <c r="AI231" s="261"/>
      <c r="AJ231" s="261"/>
      <c r="AK231" s="261"/>
      <c r="AL231" s="275"/>
      <c r="AM231" s="270"/>
      <c r="AN231" s="261"/>
      <c r="AO231" s="261"/>
      <c r="AP231" s="261"/>
      <c r="AQ231" s="292"/>
      <c r="AR231" s="261"/>
      <c r="AS231" s="330">
        <f t="shared" si="30"/>
        <v>0</v>
      </c>
      <c r="AT231" s="261"/>
      <c r="AU231" s="275"/>
      <c r="AV231" s="275"/>
      <c r="AW231" s="261"/>
      <c r="AX231" s="261"/>
      <c r="AY231" s="261"/>
      <c r="AZ231" s="270"/>
      <c r="BA231" s="275"/>
      <c r="BB231" s="261"/>
      <c r="BC231" s="261"/>
      <c r="BD231" s="261"/>
      <c r="BE231" s="275"/>
      <c r="BF231" s="261"/>
      <c r="BG231" s="275"/>
      <c r="BH231" s="270"/>
      <c r="BI231" s="261"/>
      <c r="BJ231" s="275"/>
      <c r="BK231" s="275"/>
      <c r="BL231" s="261"/>
      <c r="BM231" s="261"/>
      <c r="BN231" s="275"/>
      <c r="BO231" s="261"/>
      <c r="BP231" s="270"/>
      <c r="BQ231" s="275"/>
      <c r="BR231" s="261"/>
      <c r="BS231" s="275"/>
      <c r="BT231" s="261">
        <f t="shared" si="29"/>
        <v>0</v>
      </c>
      <c r="BU231" s="261"/>
      <c r="BV231" s="261"/>
      <c r="BW231" s="261"/>
      <c r="BX231" s="261"/>
      <c r="BY231" s="261"/>
      <c r="BZ231" s="274"/>
    </row>
    <row r="232" spans="1:181" s="272" customFormat="1" ht="15" customHeight="1" x14ac:dyDescent="0.25">
      <c r="A232" s="291" t="s">
        <v>459</v>
      </c>
      <c r="B232" s="291" t="s">
        <v>460</v>
      </c>
      <c r="C232" s="291" t="s">
        <v>481</v>
      </c>
      <c r="D232" s="272">
        <v>263</v>
      </c>
      <c r="E232" s="315" t="s">
        <v>409</v>
      </c>
      <c r="F232" s="261" t="s">
        <v>1563</v>
      </c>
      <c r="G232" s="273">
        <v>185519</v>
      </c>
      <c r="H232" s="249" t="s">
        <v>1407</v>
      </c>
      <c r="I232" s="280">
        <v>45055</v>
      </c>
      <c r="J232" s="261" t="s">
        <v>1120</v>
      </c>
      <c r="K232" s="261" t="s">
        <v>1121</v>
      </c>
      <c r="L232" s="291" t="s">
        <v>1260</v>
      </c>
      <c r="M232" s="261" t="s">
        <v>1564</v>
      </c>
      <c r="N232" s="291">
        <v>46182203</v>
      </c>
      <c r="O232" s="270" t="s">
        <v>1565</v>
      </c>
      <c r="P232" s="303">
        <v>20000000</v>
      </c>
      <c r="Q232" s="303">
        <v>19952730</v>
      </c>
      <c r="R232" s="272">
        <v>37923</v>
      </c>
      <c r="S232" s="272" t="s">
        <v>1124</v>
      </c>
      <c r="T232" s="261" t="s">
        <v>64</v>
      </c>
      <c r="U232" s="305" t="s">
        <v>65</v>
      </c>
      <c r="V232" s="305"/>
      <c r="W232" s="306">
        <v>109310</v>
      </c>
      <c r="X232" s="305" t="s">
        <v>1566</v>
      </c>
      <c r="Y232" s="307">
        <v>45057</v>
      </c>
      <c r="Z232" s="305" t="s">
        <v>1125</v>
      </c>
      <c r="AB232" s="305" t="s">
        <v>1307</v>
      </c>
      <c r="AC232" s="305" t="s">
        <v>69</v>
      </c>
      <c r="AD232" s="308" t="s">
        <v>1081</v>
      </c>
      <c r="AE232" s="305">
        <v>830037946</v>
      </c>
      <c r="AF232" s="272">
        <v>3</v>
      </c>
      <c r="AL232" s="297"/>
      <c r="AM232" s="308" t="s">
        <v>1567</v>
      </c>
      <c r="AN232" s="297">
        <v>45058</v>
      </c>
      <c r="AO232" s="332">
        <v>19952730</v>
      </c>
      <c r="AQ232" s="309"/>
      <c r="AS232" s="333">
        <f t="shared" si="30"/>
        <v>19952730</v>
      </c>
      <c r="AT232" s="272" t="s">
        <v>551</v>
      </c>
      <c r="AU232" s="297" t="s">
        <v>517</v>
      </c>
      <c r="AV232" s="310" t="s">
        <v>517</v>
      </c>
      <c r="AW232" s="310" t="s">
        <v>517</v>
      </c>
      <c r="AX232" s="272" t="s">
        <v>517</v>
      </c>
      <c r="AY232" s="305">
        <v>85</v>
      </c>
      <c r="AZ232" s="334" t="s">
        <v>1568</v>
      </c>
      <c r="BA232" s="310">
        <v>52813239</v>
      </c>
      <c r="BE232" s="297"/>
      <c r="BG232" s="297"/>
      <c r="BH232" s="312"/>
      <c r="BJ232" s="313">
        <f>SUM(AS232+BB232+BD232+BF232-BH232)</f>
        <v>19952730</v>
      </c>
      <c r="BK232" s="307"/>
      <c r="BL232" s="305"/>
      <c r="BM232" s="305"/>
      <c r="BN232" s="307"/>
      <c r="BO232" s="305"/>
      <c r="BP232" s="314"/>
      <c r="BQ232" s="307"/>
      <c r="BR232" s="305"/>
      <c r="BS232" s="307"/>
      <c r="BT232" s="305">
        <f t="shared" si="29"/>
        <v>85</v>
      </c>
      <c r="BU232" s="305"/>
      <c r="BV232" s="305"/>
      <c r="BW232" s="305"/>
      <c r="BX232" s="305"/>
      <c r="BY232" s="305"/>
      <c r="BZ232" s="274"/>
    </row>
    <row r="233" spans="1:181" s="261" customFormat="1" ht="15" customHeight="1" x14ac:dyDescent="0.25">
      <c r="A233" s="335" t="s">
        <v>459</v>
      </c>
      <c r="B233" s="336" t="s">
        <v>460</v>
      </c>
      <c r="C233" s="291" t="s">
        <v>481</v>
      </c>
      <c r="D233" s="261">
        <v>291</v>
      </c>
      <c r="E233" s="315" t="s">
        <v>409</v>
      </c>
      <c r="F233" s="261" t="s">
        <v>1389</v>
      </c>
      <c r="G233" s="273">
        <v>149494</v>
      </c>
      <c r="H233" s="249" t="s">
        <v>1407</v>
      </c>
      <c r="I233" s="280">
        <v>45050</v>
      </c>
      <c r="J233" s="261" t="s">
        <v>1120</v>
      </c>
      <c r="K233" s="261" t="s">
        <v>1121</v>
      </c>
      <c r="L233" s="301" t="s">
        <v>766</v>
      </c>
      <c r="M233" s="302" t="s">
        <v>1257</v>
      </c>
      <c r="N233" s="291">
        <v>76111501</v>
      </c>
      <c r="O233" s="337" t="s">
        <v>1138</v>
      </c>
      <c r="P233" s="338">
        <v>28203631.800000001</v>
      </c>
      <c r="Q233" s="303">
        <v>28203631.800000001</v>
      </c>
      <c r="R233" s="261">
        <v>28623</v>
      </c>
      <c r="S233" s="260" t="s">
        <v>1037</v>
      </c>
      <c r="T233" s="291" t="s">
        <v>64</v>
      </c>
      <c r="U233" s="295" t="s">
        <v>65</v>
      </c>
      <c r="V233" s="296"/>
      <c r="W233" s="339">
        <v>109622</v>
      </c>
      <c r="X233" s="296" t="s">
        <v>1566</v>
      </c>
      <c r="Y233" s="298">
        <v>45063</v>
      </c>
      <c r="Z233" s="296" t="s">
        <v>1249</v>
      </c>
      <c r="AA233" s="296"/>
      <c r="AB233" s="296" t="s">
        <v>1569</v>
      </c>
      <c r="AC233" s="296" t="s">
        <v>1570</v>
      </c>
      <c r="AD233" s="340" t="s">
        <v>1571</v>
      </c>
      <c r="AE233" s="296">
        <v>860518600</v>
      </c>
      <c r="AF233" s="296">
        <v>4</v>
      </c>
      <c r="AG233" s="296" t="s">
        <v>517</v>
      </c>
      <c r="AH233" s="296"/>
      <c r="AI233" s="296"/>
      <c r="AJ233" s="296"/>
      <c r="AK233" s="296" t="s">
        <v>517</v>
      </c>
      <c r="AL233" s="298" t="s">
        <v>517</v>
      </c>
      <c r="AM233" s="328">
        <v>89123</v>
      </c>
      <c r="AN233" s="298">
        <v>45064</v>
      </c>
      <c r="AO233" s="341">
        <v>30457018.989999998</v>
      </c>
      <c r="AP233" s="296"/>
      <c r="AQ233" s="342"/>
      <c r="AR233" s="296"/>
      <c r="AS233" s="343">
        <f>SUM(AO233+AP233+AQ233+AR233)</f>
        <v>30457018.989999998</v>
      </c>
      <c r="AT233" s="296" t="s">
        <v>297</v>
      </c>
      <c r="AU233" s="344">
        <v>45063</v>
      </c>
      <c r="AV233" s="295" t="s">
        <v>74</v>
      </c>
      <c r="AW233" s="298">
        <v>45063</v>
      </c>
      <c r="AX233" s="298">
        <v>45291</v>
      </c>
      <c r="AY233" s="295">
        <f>(AX233-AW233)</f>
        <v>228</v>
      </c>
      <c r="AZ233" s="311" t="s">
        <v>1572</v>
      </c>
      <c r="BA233" s="295">
        <v>1006453902</v>
      </c>
      <c r="BB233" s="296"/>
      <c r="BC233" s="296"/>
      <c r="BD233" s="296"/>
      <c r="BE233" s="298"/>
      <c r="BF233" s="296"/>
      <c r="BG233" s="298"/>
      <c r="BH233" s="264"/>
      <c r="BI233" s="296"/>
      <c r="BJ233" s="345">
        <f>SUM(AS233+BB233+BD233+BF233-BH233)</f>
        <v>30457018.989999998</v>
      </c>
      <c r="BK233" s="298"/>
      <c r="BL233" s="296"/>
      <c r="BM233" s="296"/>
      <c r="BN233" s="298"/>
      <c r="BO233" s="296"/>
      <c r="BP233" s="264"/>
      <c r="BQ233" s="298"/>
      <c r="BR233" s="296"/>
      <c r="BS233" s="298"/>
      <c r="BT233" s="296">
        <f>SUM(AY233+BK233+BN233+BQ233)</f>
        <v>228</v>
      </c>
      <c r="BU233" s="296"/>
      <c r="BV233" s="296"/>
      <c r="BW233" s="296"/>
      <c r="BX233" s="296"/>
      <c r="BY233" s="296"/>
      <c r="BZ233" s="274"/>
      <c r="CA233" s="272"/>
      <c r="CB233" s="272"/>
      <c r="CC233" s="272"/>
      <c r="CD233" s="272"/>
      <c r="CE233" s="272"/>
      <c r="CF233" s="272"/>
      <c r="CG233" s="272"/>
      <c r="CH233" s="272"/>
      <c r="CI233" s="272"/>
      <c r="CJ233" s="272"/>
      <c r="CK233" s="272"/>
      <c r="CL233" s="272"/>
      <c r="CM233" s="272"/>
      <c r="CN233" s="272"/>
      <c r="CO233" s="272"/>
      <c r="CP233" s="272"/>
      <c r="CQ233" s="272"/>
      <c r="CR233" s="272"/>
      <c r="CS233" s="272"/>
      <c r="CT233" s="272"/>
      <c r="CU233" s="272"/>
      <c r="CV233" s="272"/>
      <c r="CW233" s="272"/>
      <c r="CX233" s="272"/>
      <c r="CY233" s="272"/>
      <c r="CZ233" s="272"/>
      <c r="DA233" s="272"/>
      <c r="DB233" s="272"/>
      <c r="DC233" s="272"/>
      <c r="DD233" s="272"/>
      <c r="DE233" s="272"/>
      <c r="DF233" s="272"/>
      <c r="DG233" s="272"/>
      <c r="DH233" s="272"/>
      <c r="DI233" s="272"/>
      <c r="DJ233" s="272"/>
      <c r="DK233" s="272"/>
      <c r="DL233" s="272"/>
      <c r="DM233" s="272"/>
      <c r="DN233" s="272"/>
      <c r="DO233" s="272"/>
      <c r="DP233" s="272"/>
      <c r="DQ233" s="272"/>
      <c r="DR233" s="272"/>
      <c r="DS233" s="272"/>
      <c r="DT233" s="272"/>
      <c r="DU233" s="272"/>
      <c r="DV233" s="272"/>
      <c r="DW233" s="272"/>
      <c r="DX233" s="272"/>
      <c r="DY233" s="272"/>
      <c r="DZ233" s="272"/>
      <c r="EA233" s="272"/>
      <c r="EB233" s="272"/>
      <c r="EC233" s="272"/>
      <c r="ED233" s="272"/>
      <c r="EE233" s="272"/>
      <c r="EF233" s="272"/>
      <c r="EG233" s="272"/>
      <c r="EH233" s="272"/>
      <c r="EI233" s="272"/>
      <c r="EJ233" s="272"/>
      <c r="EK233" s="272"/>
      <c r="EL233" s="272"/>
      <c r="EM233" s="272"/>
      <c r="EN233" s="272"/>
      <c r="EO233" s="272"/>
      <c r="EP233" s="272"/>
      <c r="EQ233" s="272"/>
      <c r="ER233" s="272"/>
      <c r="ES233" s="272"/>
      <c r="ET233" s="272"/>
      <c r="EU233" s="272"/>
      <c r="EV233" s="272"/>
      <c r="EW233" s="272"/>
      <c r="EX233" s="272"/>
      <c r="EY233" s="272"/>
      <c r="EZ233" s="272"/>
      <c r="FA233" s="272"/>
      <c r="FB233" s="272"/>
      <c r="FC233" s="272"/>
      <c r="FD233" s="272"/>
      <c r="FE233" s="272"/>
      <c r="FF233" s="272"/>
      <c r="FG233" s="272"/>
      <c r="FH233" s="272"/>
      <c r="FI233" s="272"/>
      <c r="FJ233" s="272"/>
      <c r="FK233" s="272"/>
      <c r="FL233" s="272"/>
      <c r="FM233" s="272"/>
      <c r="FN233" s="272"/>
      <c r="FO233" s="272"/>
      <c r="FP233" s="272"/>
      <c r="FQ233" s="272"/>
      <c r="FR233" s="272"/>
      <c r="FS233" s="272"/>
      <c r="FT233" s="272"/>
      <c r="FU233" s="272"/>
      <c r="FV233" s="272"/>
      <c r="FW233" s="272"/>
      <c r="FX233" s="272"/>
      <c r="FY233" s="259"/>
    </row>
  </sheetData>
  <conditionalFormatting sqref="AO191">
    <cfRule type="colorScale" priority="37">
      <colorScale>
        <cfvo type="min"/>
        <cfvo type="max"/>
        <color rgb="FFFCFCFF"/>
        <color rgb="FF63BE7B"/>
      </colorScale>
    </cfRule>
  </conditionalFormatting>
  <conditionalFormatting sqref="AD191">
    <cfRule type="colorScale" priority="38">
      <colorScale>
        <cfvo type="min"/>
        <cfvo type="max"/>
        <color rgb="FFFCFCFF"/>
        <color rgb="FF63BE7B"/>
      </colorScale>
    </cfRule>
  </conditionalFormatting>
  <conditionalFormatting sqref="AZ191">
    <cfRule type="colorScale" priority="39">
      <colorScale>
        <cfvo type="min"/>
        <cfvo type="max"/>
        <color rgb="FFFCFCFF"/>
        <color rgb="FF63BE7B"/>
      </colorScale>
    </cfRule>
  </conditionalFormatting>
  <conditionalFormatting sqref="AO192">
    <cfRule type="colorScale" priority="34">
      <colorScale>
        <cfvo type="min"/>
        <cfvo type="max"/>
        <color rgb="FFFCFCFF"/>
        <color rgb="FF63BE7B"/>
      </colorScale>
    </cfRule>
  </conditionalFormatting>
  <conditionalFormatting sqref="AD192">
    <cfRule type="colorScale" priority="35">
      <colorScale>
        <cfvo type="min"/>
        <cfvo type="max"/>
        <color rgb="FFFCFCFF"/>
        <color rgb="FF63BE7B"/>
      </colorScale>
    </cfRule>
  </conditionalFormatting>
  <conditionalFormatting sqref="AZ192">
    <cfRule type="colorScale" priority="36">
      <colorScale>
        <cfvo type="min"/>
        <cfvo type="max"/>
        <color rgb="FFFCFCFF"/>
        <color rgb="FF63BE7B"/>
      </colorScale>
    </cfRule>
  </conditionalFormatting>
  <conditionalFormatting sqref="AO190">
    <cfRule type="colorScale" priority="31">
      <colorScale>
        <cfvo type="min"/>
        <cfvo type="max"/>
        <color rgb="FFFCFCFF"/>
        <color rgb="FF63BE7B"/>
      </colorScale>
    </cfRule>
  </conditionalFormatting>
  <conditionalFormatting sqref="AD190">
    <cfRule type="colorScale" priority="32">
      <colorScale>
        <cfvo type="min"/>
        <cfvo type="max"/>
        <color rgb="FFFCFCFF"/>
        <color rgb="FF63BE7B"/>
      </colorScale>
    </cfRule>
  </conditionalFormatting>
  <conditionalFormatting sqref="AZ190">
    <cfRule type="colorScale" priority="33">
      <colorScale>
        <cfvo type="min"/>
        <cfvo type="max"/>
        <color rgb="FFFCFCFF"/>
        <color rgb="FF63BE7B"/>
      </colorScale>
    </cfRule>
  </conditionalFormatting>
  <conditionalFormatting sqref="AD165">
    <cfRule type="colorScale" priority="29">
      <colorScale>
        <cfvo type="min"/>
        <cfvo type="max"/>
        <color rgb="FFFCFCFF"/>
        <color rgb="FF63BE7B"/>
      </colorScale>
    </cfRule>
  </conditionalFormatting>
  <conditionalFormatting sqref="AZ165">
    <cfRule type="colorScale" priority="30">
      <colorScale>
        <cfvo type="min"/>
        <cfvo type="max"/>
        <color rgb="FFFCFCFF"/>
        <color rgb="FF63BE7B"/>
      </colorScale>
    </cfRule>
  </conditionalFormatting>
  <conditionalFormatting sqref="AD170">
    <cfRule type="colorScale" priority="27">
      <colorScale>
        <cfvo type="min"/>
        <cfvo type="max"/>
        <color rgb="FFFCFCFF"/>
        <color rgb="FF63BE7B"/>
      </colorScale>
    </cfRule>
  </conditionalFormatting>
  <conditionalFormatting sqref="AZ170">
    <cfRule type="colorScale" priority="28">
      <colorScale>
        <cfvo type="min"/>
        <cfvo type="max"/>
        <color rgb="FFFCFCFF"/>
        <color rgb="FF63BE7B"/>
      </colorScale>
    </cfRule>
  </conditionalFormatting>
  <conditionalFormatting sqref="AD171">
    <cfRule type="colorScale" priority="25">
      <colorScale>
        <cfvo type="min"/>
        <cfvo type="max"/>
        <color rgb="FFFCFCFF"/>
        <color rgb="FF63BE7B"/>
      </colorScale>
    </cfRule>
  </conditionalFormatting>
  <conditionalFormatting sqref="AZ171">
    <cfRule type="colorScale" priority="26">
      <colorScale>
        <cfvo type="min"/>
        <cfvo type="max"/>
        <color rgb="FFFCFCFF"/>
        <color rgb="FF63BE7B"/>
      </colorScale>
    </cfRule>
  </conditionalFormatting>
  <conditionalFormatting sqref="AD159">
    <cfRule type="colorScale" priority="23">
      <colorScale>
        <cfvo type="min"/>
        <cfvo type="max"/>
        <color rgb="FFFCFCFF"/>
        <color rgb="FF63BE7B"/>
      </colorScale>
    </cfRule>
  </conditionalFormatting>
  <conditionalFormatting sqref="AZ159">
    <cfRule type="colorScale" priority="24">
      <colorScale>
        <cfvo type="min"/>
        <cfvo type="max"/>
        <color rgb="FFFCFCFF"/>
        <color rgb="FF63BE7B"/>
      </colorScale>
    </cfRule>
  </conditionalFormatting>
  <conditionalFormatting sqref="AD158">
    <cfRule type="colorScale" priority="21">
      <colorScale>
        <cfvo type="min"/>
        <cfvo type="max"/>
        <color rgb="FFFCFCFF"/>
        <color rgb="FF63BE7B"/>
      </colorScale>
    </cfRule>
  </conditionalFormatting>
  <conditionalFormatting sqref="AZ158">
    <cfRule type="colorScale" priority="22">
      <colorScale>
        <cfvo type="min"/>
        <cfvo type="max"/>
        <color rgb="FFFCFCFF"/>
        <color rgb="FF63BE7B"/>
      </colorScale>
    </cfRule>
  </conditionalFormatting>
  <conditionalFormatting sqref="AD160:AD161">
    <cfRule type="colorScale" priority="19">
      <colorScale>
        <cfvo type="min"/>
        <cfvo type="max"/>
        <color rgb="FFFCFCFF"/>
        <color rgb="FF63BE7B"/>
      </colorScale>
    </cfRule>
  </conditionalFormatting>
  <conditionalFormatting sqref="AZ160:AZ161">
    <cfRule type="colorScale" priority="20">
      <colorScale>
        <cfvo type="min"/>
        <cfvo type="max"/>
        <color rgb="FFFCFCFF"/>
        <color rgb="FF63BE7B"/>
      </colorScale>
    </cfRule>
  </conditionalFormatting>
  <conditionalFormatting sqref="AD168">
    <cfRule type="colorScale" priority="17">
      <colorScale>
        <cfvo type="min"/>
        <cfvo type="max"/>
        <color rgb="FFFCFCFF"/>
        <color rgb="FF63BE7B"/>
      </colorScale>
    </cfRule>
  </conditionalFormatting>
  <conditionalFormatting sqref="AZ168">
    <cfRule type="colorScale" priority="18">
      <colorScale>
        <cfvo type="min"/>
        <cfvo type="max"/>
        <color rgb="FFFCFCFF"/>
        <color rgb="FF63BE7B"/>
      </colorScale>
    </cfRule>
  </conditionalFormatting>
  <conditionalFormatting sqref="AD157">
    <cfRule type="colorScale" priority="15">
      <colorScale>
        <cfvo type="min"/>
        <cfvo type="max"/>
        <color rgb="FFFCFCFF"/>
        <color rgb="FF63BE7B"/>
      </colorScale>
    </cfRule>
  </conditionalFormatting>
  <conditionalFormatting sqref="AZ157">
    <cfRule type="colorScale" priority="16">
      <colorScale>
        <cfvo type="min"/>
        <cfvo type="max"/>
        <color rgb="FFFCFCFF"/>
        <color rgb="FF63BE7B"/>
      </colorScale>
    </cfRule>
  </conditionalFormatting>
  <conditionalFormatting sqref="AD173">
    <cfRule type="colorScale" priority="13">
      <colorScale>
        <cfvo type="min"/>
        <cfvo type="max"/>
        <color rgb="FFFCFCFF"/>
        <color rgb="FF63BE7B"/>
      </colorScale>
    </cfRule>
  </conditionalFormatting>
  <conditionalFormatting sqref="AZ173">
    <cfRule type="colorScale" priority="14">
      <colorScale>
        <cfvo type="min"/>
        <cfvo type="max"/>
        <color rgb="FFFCFCFF"/>
        <color rgb="FF63BE7B"/>
      </colorScale>
    </cfRule>
  </conditionalFormatting>
  <conditionalFormatting sqref="AD167">
    <cfRule type="colorScale" priority="11">
      <colorScale>
        <cfvo type="min"/>
        <cfvo type="max"/>
        <color rgb="FFFCFCFF"/>
        <color rgb="FF63BE7B"/>
      </colorScale>
    </cfRule>
  </conditionalFormatting>
  <conditionalFormatting sqref="AZ167">
    <cfRule type="colorScale" priority="12">
      <colorScale>
        <cfvo type="min"/>
        <cfvo type="max"/>
        <color rgb="FFFCFCFF"/>
        <color rgb="FF63BE7B"/>
      </colorScale>
    </cfRule>
  </conditionalFormatting>
  <conditionalFormatting sqref="AD174">
    <cfRule type="colorScale" priority="9">
      <colorScale>
        <cfvo type="min"/>
        <cfvo type="max"/>
        <color rgb="FFFCFCFF"/>
        <color rgb="FF63BE7B"/>
      </colorScale>
    </cfRule>
  </conditionalFormatting>
  <conditionalFormatting sqref="AZ174">
    <cfRule type="colorScale" priority="10">
      <colorScale>
        <cfvo type="min"/>
        <cfvo type="max"/>
        <color rgb="FFFCFCFF"/>
        <color rgb="FF63BE7B"/>
      </colorScale>
    </cfRule>
  </conditionalFormatting>
  <conditionalFormatting sqref="AO175">
    <cfRule type="colorScale" priority="6">
      <colorScale>
        <cfvo type="min"/>
        <cfvo type="max"/>
        <color rgb="FFFCFCFF"/>
        <color rgb="FF63BE7B"/>
      </colorScale>
    </cfRule>
  </conditionalFormatting>
  <conditionalFormatting sqref="AD175">
    <cfRule type="colorScale" priority="7">
      <colorScale>
        <cfvo type="min"/>
        <cfvo type="max"/>
        <color rgb="FFFCFCFF"/>
        <color rgb="FF63BE7B"/>
      </colorScale>
    </cfRule>
  </conditionalFormatting>
  <conditionalFormatting sqref="AZ175">
    <cfRule type="colorScale" priority="8">
      <colorScale>
        <cfvo type="min"/>
        <cfvo type="max"/>
        <color rgb="FFFCFCFF"/>
        <color rgb="FF63BE7B"/>
      </colorScale>
    </cfRule>
  </conditionalFormatting>
  <conditionalFormatting sqref="AD164">
    <cfRule type="colorScale" priority="4">
      <colorScale>
        <cfvo type="min"/>
        <cfvo type="max"/>
        <color rgb="FFFCFCFF"/>
        <color rgb="FF63BE7B"/>
      </colorScale>
    </cfRule>
  </conditionalFormatting>
  <conditionalFormatting sqref="AZ164">
    <cfRule type="colorScale" priority="5">
      <colorScale>
        <cfvo type="min"/>
        <cfvo type="max"/>
        <color rgb="FFFCFCFF"/>
        <color rgb="FF63BE7B"/>
      </colorScale>
    </cfRule>
  </conditionalFormatting>
  <conditionalFormatting sqref="AD169">
    <cfRule type="colorScale" priority="2">
      <colorScale>
        <cfvo type="min"/>
        <cfvo type="max"/>
        <color rgb="FFFCFCFF"/>
        <color rgb="FF63BE7B"/>
      </colorScale>
    </cfRule>
  </conditionalFormatting>
  <conditionalFormatting sqref="AZ169">
    <cfRule type="colorScale" priority="3">
      <colorScale>
        <cfvo type="min"/>
        <cfvo type="max"/>
        <color rgb="FFFCFCFF"/>
        <color rgb="FF63BE7B"/>
      </colorScale>
    </cfRule>
  </conditionalFormatting>
  <conditionalFormatting sqref="AD233">
    <cfRule type="colorScale" priority="1">
      <colorScale>
        <cfvo type="min"/>
        <cfvo type="max"/>
        <color rgb="FFFCFCFF"/>
        <color rgb="FF63BE7B"/>
      </colorScale>
    </cfRule>
  </conditionalFormatting>
  <dataValidations disablePrompts="1" count="1">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BC57" xr:uid="{F2DAE078-B127-440F-81C4-DE6BEEC219B8}">
      <formula1>1900/1/1</formula1>
      <formula2>3000/1/1</formula2>
    </dataValidation>
  </dataValidations>
  <hyperlinks>
    <hyperlink ref="M89" r:id="rId1" display="javascript:void(0);" xr:uid="{05F46C7C-04A1-4695-B95F-AFA51CC1F5E8}"/>
    <hyperlink ref="W50" r:id="rId2" display="javascript:void(0);" xr:uid="{4AF0B25D-FE93-404E-A788-AA22F8E0EF11}"/>
    <hyperlink ref="M84" r:id="rId3" display="javascript:void(0);" xr:uid="{8E0F59C1-A656-4B87-93E8-E3D9B8E417CE}"/>
    <hyperlink ref="M85" r:id="rId4" display="javascript:void(0);" xr:uid="{973447DB-65A4-455C-93AC-B14DA6A69A5C}"/>
    <hyperlink ref="W85" r:id="rId5" display="javascript:void(0);" xr:uid="{F579402C-BE5B-4D36-8EC8-930B87E48F56}"/>
    <hyperlink ref="G112" r:id="rId6" tooltip="PCD-103-2023-35SYF" display="javascript:void(0);" xr:uid="{42EA3366-2F3D-4229-897B-3BBE6BC19747}"/>
    <hyperlink ref="W156" r:id="rId7" tooltip="Orden de compra 106792" display="https://colombiacompra.coupahost.com/order_headers/106792" xr:uid="{D16B6AAF-D21B-4976-BC73-CB15E463805D}"/>
    <hyperlink ref="G156" r:id="rId8" display="https://colombiacompra.coupahost.com/requisition_headers/183369" xr:uid="{37D1AEE6-98EE-4532-899A-27FFC26C2410}"/>
    <hyperlink ref="M203" r:id="rId9" display="javascript:void(0);" xr:uid="{6124775D-46A3-489A-A226-412EF68A8111}"/>
    <hyperlink ref="M209" r:id="rId10" display="javascript:void(0);" xr:uid="{EFAB4707-78ED-4EBE-AE81-9E32C72A1C8A}"/>
    <hyperlink ref="M213" r:id="rId11" display="javascript:void(0);" xr:uid="{E5237438-DBEE-4C5C-B8D6-50C776F86441}"/>
  </hyperlinks>
  <pageMargins left="0.25" right="0.25" top="0.75" bottom="0.75" header="0.3" footer="0.3"/>
  <pageSetup scale="11" fitToWidth="0" orientation="landscape" r:id="rId12"/>
  <drawing r:id="rId13"/>
  <tableParts count="1">
    <tablePart r:id="rId1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workbookViewId="0">
      <selection activeCell="E15" sqref="E15"/>
    </sheetView>
  </sheetViews>
  <sheetFormatPr baseColWidth="10" defaultRowHeight="15" x14ac:dyDescent="0.25"/>
  <cols>
    <col min="1" max="1" width="13.7109375" bestFit="1" customWidth="1"/>
    <col min="2" max="2" width="37.42578125" bestFit="1" customWidth="1"/>
    <col min="5" max="5" width="27.42578125" customWidth="1"/>
    <col min="6" max="6" width="53.140625" customWidth="1"/>
  </cols>
  <sheetData>
    <row r="1" spans="1:6" s="21" customFormat="1" x14ac:dyDescent="0.25">
      <c r="A1" s="20" t="s">
        <v>470</v>
      </c>
      <c r="B1" s="20" t="s">
        <v>468</v>
      </c>
      <c r="C1" s="20" t="s">
        <v>476</v>
      </c>
      <c r="D1" s="20" t="s">
        <v>479</v>
      </c>
      <c r="E1" s="20" t="s">
        <v>482</v>
      </c>
      <c r="F1" s="22" t="s">
        <v>484</v>
      </c>
    </row>
    <row r="2" spans="1:6" ht="12.75" customHeight="1" x14ac:dyDescent="0.25">
      <c r="A2" s="17" t="s">
        <v>464</v>
      </c>
      <c r="B2" s="19" t="s">
        <v>469</v>
      </c>
      <c r="C2" s="17" t="s">
        <v>477</v>
      </c>
      <c r="D2" s="19" t="s">
        <v>480</v>
      </c>
      <c r="E2" s="3" t="s">
        <v>55</v>
      </c>
      <c r="F2" s="3" t="s">
        <v>61</v>
      </c>
    </row>
    <row r="3" spans="1:6" x14ac:dyDescent="0.25">
      <c r="A3" s="16" t="s">
        <v>465</v>
      </c>
      <c r="B3" s="15" t="s">
        <v>471</v>
      </c>
      <c r="C3" s="16" t="s">
        <v>478</v>
      </c>
      <c r="D3" s="15" t="s">
        <v>54</v>
      </c>
      <c r="E3" s="3" t="s">
        <v>221</v>
      </c>
      <c r="F3" s="3" t="s">
        <v>78</v>
      </c>
    </row>
    <row r="4" spans="1:6" x14ac:dyDescent="0.25">
      <c r="A4" s="16" t="s">
        <v>466</v>
      </c>
      <c r="B4" s="15" t="s">
        <v>472</v>
      </c>
      <c r="D4" s="15" t="s">
        <v>481</v>
      </c>
      <c r="E4" s="3" t="s">
        <v>344</v>
      </c>
      <c r="F4" s="3" t="s">
        <v>86</v>
      </c>
    </row>
    <row r="5" spans="1:6" x14ac:dyDescent="0.25">
      <c r="A5" s="16" t="s">
        <v>467</v>
      </c>
      <c r="B5" s="15" t="s">
        <v>473</v>
      </c>
      <c r="E5" s="3" t="s">
        <v>345</v>
      </c>
      <c r="F5" s="3" t="s">
        <v>99</v>
      </c>
    </row>
    <row r="6" spans="1:6" x14ac:dyDescent="0.25">
      <c r="B6" s="15" t="s">
        <v>474</v>
      </c>
      <c r="E6" s="3" t="s">
        <v>409</v>
      </c>
      <c r="F6" s="3" t="s">
        <v>136</v>
      </c>
    </row>
    <row r="7" spans="1:6" x14ac:dyDescent="0.25">
      <c r="B7" s="15" t="s">
        <v>475</v>
      </c>
      <c r="E7" s="3" t="s">
        <v>1178</v>
      </c>
      <c r="F7" s="3" t="s">
        <v>150</v>
      </c>
    </row>
    <row r="8" spans="1:6" x14ac:dyDescent="0.25">
      <c r="F8" s="3" t="s">
        <v>166</v>
      </c>
    </row>
    <row r="9" spans="1:6" x14ac:dyDescent="0.25">
      <c r="F9" s="3"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Analisis de Datos</vt:lpstr>
      <vt:lpstr>Contratación 2023 (2)</vt:lpstr>
      <vt:lpstr>Lista</vt:lpstr>
      <vt:lpstr>'Contratación 2023 (2)'!_Hlk125366930</vt:lpstr>
      <vt:lpstr>'Contratación 2023 (2)'!Área_de_impresión</vt:lpstr>
      <vt:lpstr>'Contratación 2023 (2)'!incBuyerDossierDetaillnkRequestName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Clemente Gomez Romero</dc:creator>
  <cp:lastModifiedBy>Alejandra Maria Arcos Medina</cp:lastModifiedBy>
  <cp:lastPrinted>2023-04-13T17:34:29Z</cp:lastPrinted>
  <dcterms:created xsi:type="dcterms:W3CDTF">2023-02-01T20:20:14Z</dcterms:created>
  <dcterms:modified xsi:type="dcterms:W3CDTF">2023-06-07T15:01:59Z</dcterms:modified>
</cp:coreProperties>
</file>